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681" activeTab="3"/>
  </bookViews>
  <sheets>
    <sheet name="CAN Bus Utilization Calculator" sheetId="1" r:id="rId1"/>
    <sheet name="BitsPerMsg" sheetId="2" r:id="rId2"/>
    <sheet name="CAN Bus Used by mode" sheetId="3" r:id="rId3"/>
    <sheet name="Byte-pipe Bus Utilization" sheetId="4" r:id="rId4"/>
  </sheets>
  <definedNames>
    <definedName name="CANbusBaud">'BitsPerMsg'!$A$1</definedName>
    <definedName name="IHUpollRate">'BitsPerMsg'!$G$1</definedName>
    <definedName name="Max0BytePktBits">'BitsPerMsg'!$M$17</definedName>
    <definedName name="Max1BytePktBits">'BitsPerMsg'!$C$18</definedName>
    <definedName name="Max2BytePktBits">'BitsPerMsg'!$D$18</definedName>
    <definedName name="Max3BytePktBits">'BitsPerMsg'!$E$18</definedName>
    <definedName name="Max4BytePktBits">'BitsPerMsg'!$F$18</definedName>
    <definedName name="Max5BytePktBits">'BitsPerMsg'!$G$18</definedName>
    <definedName name="Max6BytePktBits">'BitsPerMsg'!$H$18</definedName>
    <definedName name="Max7BytePktBits">'BitsPerMsg'!$I$18</definedName>
    <definedName name="Max8BytePktBits">'BitsPerMsg'!$J$18</definedName>
    <definedName name="MuxConfig">'BitsPerMsg'!$F$25</definedName>
    <definedName name="Nbr_Byte_pipe_Modules">'CAN Bus Utilization Calculator'!$B$7</definedName>
    <definedName name="PctBus4Data">'CAN Bus Utilization Calculator'!$D$9</definedName>
    <definedName name="PipeConfig">'BitsPerMsg'!$F$26</definedName>
    <definedName name="PipeIHU2Module_is_Pcnt_of_PipeTrffc">'CAN Bus Utilization Calculator'!$B$12</definedName>
    <definedName name="_xlnm.Print_Area" localSheetId="1">'BitsPerMsg'!$A$1:$J$86</definedName>
    <definedName name="_xlnm.Print_Area" localSheetId="0">'CAN Bus Utilization Calculator'!$A$1:$E$26</definedName>
    <definedName name="StdConfig">'BitsPerMsg'!$F$24</definedName>
  </definedNames>
  <calcPr fullCalcOnLoad="1" refMode="R1C1"/>
</workbook>
</file>

<file path=xl/sharedStrings.xml><?xml version="1.0" encoding="utf-8"?>
<sst xmlns="http://schemas.openxmlformats.org/spreadsheetml/2006/main" count="77" uniqueCount="68">
  <si>
    <t>SOF</t>
  </si>
  <si>
    <t>CTL</t>
  </si>
  <si>
    <t>DATA</t>
  </si>
  <si>
    <t>CRC</t>
  </si>
  <si>
    <t>DEL</t>
  </si>
  <si>
    <t>ACK</t>
  </si>
  <si>
    <t>EOF</t>
  </si>
  <si>
    <t>Pkts/Sec</t>
  </si>
  <si>
    <t>Pkts/20mSec</t>
  </si>
  <si>
    <t>Standard</t>
  </si>
  <si>
    <t>Mux</t>
  </si>
  <si>
    <t>Byte-pipe</t>
  </si>
  <si>
    <t>Used</t>
  </si>
  <si>
    <t>Free</t>
  </si>
  <si>
    <t>Byte Pipe</t>
  </si>
  <si>
    <t>Pipe Traffic BUS Util.</t>
  </si>
  <si>
    <t>Bus Util.</t>
  </si>
  <si>
    <t>TotPkts/Sec</t>
  </si>
  <si>
    <t>Bytes/Sec</t>
  </si>
  <si>
    <t>Multiplex Modules</t>
  </si>
  <si>
    <t>Byte-pipe Modules</t>
  </si>
  <si>
    <t>Configure</t>
  </si>
  <si>
    <t>bus utilized</t>
  </si>
  <si>
    <t>PipeIHU2Module is % of PipeTrffc</t>
  </si>
  <si>
    <t>IHU2Module data  (OUT):</t>
  </si>
  <si>
    <t>Module2IHU data     (IN):</t>
  </si>
  <si>
    <t>bus free for pipe-data</t>
  </si>
  <si>
    <t>:Pipe Kbytes/Second ea. Module</t>
  </si>
  <si>
    <t>:Pipe CAN Packets/Second ea. Module</t>
  </si>
  <si>
    <t>Hz : IHU Poll Frequency</t>
  </si>
  <si>
    <t>bits/sec CAN Bus Speed</t>
  </si>
  <si>
    <t>Answ1</t>
  </si>
  <si>
    <t>Answ2</t>
  </si>
  <si>
    <t>Answ3</t>
  </si>
  <si>
    <t>Xactions
per Sec</t>
  </si>
  <si>
    <t>Total
Xaction bits</t>
  </si>
  <si>
    <t>Modules
needed for
this rate</t>
  </si>
  <si>
    <t>Max # Standard w/2byte+2mux at 50%</t>
  </si>
  <si>
    <t>NOTES</t>
  </si>
  <si>
    <t>1. Maximum Stuff bits assumed per CAN Message. This is entirely data 
    dependent. It actually varies from 0 to Max. but can't be predicted.</t>
  </si>
  <si>
    <t>IFS</t>
  </si>
  <si>
    <t>0-byte
Payload</t>
  </si>
  <si>
    <t>1-byte
Payload</t>
  </si>
  <si>
    <t>2-byte
Payload</t>
  </si>
  <si>
    <t>3-byte
Payload</t>
  </si>
  <si>
    <t>4-byte
Payload</t>
  </si>
  <si>
    <t>5-byte
Payload</t>
  </si>
  <si>
    <t>6-byte
Payload</t>
  </si>
  <si>
    <t>7-byte
Payload</t>
  </si>
  <si>
    <t>8-byte
Payload</t>
  </si>
  <si>
    <t>Min. Bits</t>
  </si>
  <si>
    <t>Min. Bytes</t>
  </si>
  <si>
    <t>Max. Bits</t>
  </si>
  <si>
    <t>Max. Bytes</t>
  </si>
  <si>
    <t>ARB</t>
  </si>
  <si>
    <t>Satellite Project Name:</t>
  </si>
  <si>
    <t>Module Mode</t>
  </si>
  <si>
    <t>Per-Module Stats:</t>
  </si>
  <si>
    <t>Bandwidth for Byte-pipe:</t>
  </si>
  <si>
    <t>of pipe traffic is IHU to Module</t>
  </si>
  <si>
    <t>Nbr Bits
in
Configure
 Xaction</t>
  </si>
  <si>
    <t>% of 
CAN Bus
used for 
Configure
Xactions</t>
  </si>
  <si>
    <t>Total Modules:</t>
  </si>
  <si>
    <t>Nbr
Modules
in each Mode</t>
  </si>
  <si>
    <t>2. Fill in green areas. Rest of worksheet(s) should recalculate when this is done.</t>
  </si>
  <si>
    <t>Max.Stuff Bits</t>
  </si>
  <si>
    <t>NOTE: Only yellow field is subjet to bit-stuffing</t>
  </si>
  <si>
    <t>Standard Modules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</si>
</sst>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"/>
    <numFmt numFmtId="168" formatCode="_(* #,##0.0_);_(* \(#,##0.0\);_(* &quot;-&quot;?_);_(@_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name val="Comic Sans MS"/>
      <family val="0"/>
    </font>
    <font>
      <sz val="10.5"/>
      <name val="Comic Sans MS"/>
      <family val="0"/>
    </font>
    <font>
      <b/>
      <sz val="12"/>
      <name val="Comic Sans MS"/>
      <family val="0"/>
    </font>
    <font>
      <b/>
      <sz val="10.5"/>
      <name val="Comic Sans MS"/>
      <family val="0"/>
    </font>
    <font>
      <b/>
      <sz val="12"/>
      <name val="Arial"/>
      <family val="0"/>
    </font>
    <font>
      <sz val="10"/>
      <color indexed="14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6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9" fontId="0" fillId="0" borderId="2" xfId="19" applyBorder="1" applyAlignment="1">
      <alignment/>
    </xf>
    <xf numFmtId="165" fontId="0" fillId="0" borderId="0" xfId="15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165" fontId="5" fillId="0" borderId="0" xfId="15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6" xfId="0" applyBorder="1" applyAlignment="1">
      <alignment/>
    </xf>
    <xf numFmtId="0" fontId="6" fillId="0" borderId="0" xfId="0" applyFont="1" applyAlignment="1">
      <alignment horizontal="right"/>
    </xf>
    <xf numFmtId="0" fontId="2" fillId="0" borderId="7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8" xfId="0" applyFont="1" applyBorder="1" applyAlignment="1">
      <alignment/>
    </xf>
    <xf numFmtId="165" fontId="2" fillId="0" borderId="0" xfId="15" applyNumberFormat="1" applyFont="1" applyBorder="1" applyAlignment="1">
      <alignment/>
    </xf>
    <xf numFmtId="0" fontId="2" fillId="0" borderId="9" xfId="0" applyFont="1" applyBorder="1" applyAlignment="1">
      <alignment horizontal="right"/>
    </xf>
    <xf numFmtId="0" fontId="0" fillId="0" borderId="10" xfId="0" applyBorder="1" applyAlignment="1">
      <alignment/>
    </xf>
    <xf numFmtId="165" fontId="2" fillId="0" borderId="11" xfId="15" applyNumberFormat="1" applyFont="1" applyBorder="1" applyAlignment="1">
      <alignment/>
    </xf>
    <xf numFmtId="165" fontId="2" fillId="0" borderId="12" xfId="15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3" fillId="0" borderId="15" xfId="0" applyFont="1" applyBorder="1" applyAlignment="1">
      <alignment/>
    </xf>
    <xf numFmtId="165" fontId="2" fillId="0" borderId="16" xfId="15" applyNumberFormat="1" applyFont="1" applyBorder="1" applyAlignment="1">
      <alignment/>
    </xf>
    <xf numFmtId="165" fontId="2" fillId="0" borderId="17" xfId="15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9" xfId="0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9" fontId="0" fillId="0" borderId="1" xfId="0" applyNumberFormat="1" applyBorder="1" applyAlignment="1">
      <alignment/>
    </xf>
    <xf numFmtId="9" fontId="0" fillId="0" borderId="24" xfId="19" applyBorder="1" applyAlignment="1">
      <alignment/>
    </xf>
    <xf numFmtId="9" fontId="0" fillId="0" borderId="4" xfId="0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0" fontId="2" fillId="0" borderId="2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Border="1" applyAlignment="1">
      <alignment horizontal="center"/>
    </xf>
    <xf numFmtId="9" fontId="0" fillId="0" borderId="0" xfId="19" applyBorder="1" applyAlignment="1">
      <alignment/>
    </xf>
    <xf numFmtId="0" fontId="12" fillId="0" borderId="0" xfId="0" applyFont="1" applyBorder="1" applyAlignment="1">
      <alignment horizontal="center"/>
    </xf>
    <xf numFmtId="9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9" fontId="3" fillId="0" borderId="0" xfId="19" applyFont="1" applyBorder="1" applyAlignment="1">
      <alignment/>
    </xf>
    <xf numFmtId="0" fontId="2" fillId="0" borderId="2" xfId="0" applyFont="1" applyBorder="1" applyAlignment="1">
      <alignment horizontal="right"/>
    </xf>
    <xf numFmtId="165" fontId="14" fillId="0" borderId="0" xfId="15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" xfId="0" applyFont="1" applyBorder="1" applyAlignment="1">
      <alignment/>
    </xf>
    <xf numFmtId="165" fontId="13" fillId="0" borderId="0" xfId="0" applyNumberFormat="1" applyFont="1" applyBorder="1" applyAlignment="1">
      <alignment/>
    </xf>
    <xf numFmtId="0" fontId="13" fillId="0" borderId="2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2" fillId="0" borderId="3" xfId="0" applyFont="1" applyBorder="1" applyAlignment="1">
      <alignment horizontal="center"/>
    </xf>
    <xf numFmtId="9" fontId="13" fillId="0" borderId="3" xfId="0" applyNumberFormat="1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22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9" fontId="0" fillId="2" borderId="8" xfId="19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9" fontId="0" fillId="3" borderId="2" xfId="19" applyFont="1" applyFill="1" applyBorder="1" applyAlignment="1">
      <alignment/>
    </xf>
    <xf numFmtId="9" fontId="0" fillId="3" borderId="1" xfId="0" applyNumberFormat="1" applyFont="1" applyFill="1" applyBorder="1" applyAlignment="1">
      <alignment/>
    </xf>
    <xf numFmtId="9" fontId="0" fillId="3" borderId="24" xfId="19" applyFont="1" applyFill="1" applyBorder="1" applyAlignment="1">
      <alignment/>
    </xf>
    <xf numFmtId="9" fontId="0" fillId="3" borderId="4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9" xfId="0" applyFont="1" applyBorder="1" applyAlignment="1">
      <alignment horizontal="right"/>
    </xf>
    <xf numFmtId="165" fontId="5" fillId="0" borderId="27" xfId="15" applyNumberFormat="1" applyFont="1" applyBorder="1" applyAlignment="1">
      <alignment/>
    </xf>
    <xf numFmtId="0" fontId="5" fillId="0" borderId="27" xfId="0" applyFont="1" applyBorder="1" applyAlignment="1">
      <alignment/>
    </xf>
    <xf numFmtId="0" fontId="2" fillId="4" borderId="0" xfId="0" applyFont="1" applyFill="1" applyBorder="1" applyAlignment="1">
      <alignment horizontal="right"/>
    </xf>
    <xf numFmtId="0" fontId="0" fillId="4" borderId="6" xfId="0" applyFill="1" applyBorder="1" applyAlignment="1">
      <alignment/>
    </xf>
    <xf numFmtId="0" fontId="0" fillId="4" borderId="13" xfId="0" applyFill="1" applyBorder="1" applyAlignment="1">
      <alignment/>
    </xf>
    <xf numFmtId="0" fontId="2" fillId="4" borderId="0" xfId="0" applyFont="1" applyFill="1" applyAlignment="1">
      <alignment horizontal="right"/>
    </xf>
    <xf numFmtId="0" fontId="3" fillId="4" borderId="0" xfId="0" applyFont="1" applyFill="1" applyAlignment="1">
      <alignment horizontal="right"/>
    </xf>
    <xf numFmtId="0" fontId="3" fillId="4" borderId="6" xfId="0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2" fillId="4" borderId="9" xfId="0" applyFont="1" applyFill="1" applyBorder="1" applyAlignment="1">
      <alignment horizontal="right"/>
    </xf>
    <xf numFmtId="0" fontId="0" fillId="4" borderId="10" xfId="0" applyFill="1" applyBorder="1" applyAlignment="1">
      <alignment/>
    </xf>
    <xf numFmtId="0" fontId="0" fillId="4" borderId="14" xfId="0" applyFill="1" applyBorder="1" applyAlignment="1">
      <alignment/>
    </xf>
    <xf numFmtId="0" fontId="2" fillId="0" borderId="7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165" fontId="4" fillId="0" borderId="19" xfId="15" applyNumberFormat="1" applyFon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165" fontId="4" fillId="0" borderId="0" xfId="15" applyNumberFormat="1" applyFon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5" fontId="4" fillId="0" borderId="9" xfId="15" applyNumberFormat="1" applyFont="1" applyBorder="1" applyAlignment="1">
      <alignment horizontal="center"/>
    </xf>
    <xf numFmtId="165" fontId="0" fillId="0" borderId="30" xfId="0" applyNumberFormat="1" applyBorder="1" applyAlignment="1">
      <alignment horizontal="center"/>
    </xf>
    <xf numFmtId="0" fontId="15" fillId="5" borderId="31" xfId="0" applyFont="1" applyFill="1" applyBorder="1" applyAlignment="1">
      <alignment horizontal="right"/>
    </xf>
    <xf numFmtId="0" fontId="15" fillId="5" borderId="8" xfId="0" applyFont="1" applyFill="1" applyBorder="1" applyAlignment="1">
      <alignment/>
    </xf>
    <xf numFmtId="0" fontId="15" fillId="5" borderId="15" xfId="0" applyFont="1" applyFill="1" applyBorder="1" applyAlignment="1">
      <alignment/>
    </xf>
    <xf numFmtId="9" fontId="6" fillId="0" borderId="0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2" fillId="0" borderId="24" xfId="0" applyFont="1" applyBorder="1" applyAlignment="1">
      <alignment horizontal="right"/>
    </xf>
    <xf numFmtId="165" fontId="0" fillId="0" borderId="0" xfId="15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0" fontId="0" fillId="2" borderId="0" xfId="0" applyFill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0" xfId="0" applyAlignment="1">
      <alignment horizontal="left" wrapText="1" readingOrder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Bus Utuilization by Number of devices and Mode (configure transactions)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089"/>
          <c:w val="0.88875"/>
          <c:h val="0.85475"/>
        </c:manualLayout>
      </c:layout>
      <c:lineChart>
        <c:grouping val="standard"/>
        <c:varyColors val="0"/>
        <c:ser>
          <c:idx val="1"/>
          <c:order val="0"/>
          <c:tx>
            <c:v>Standard Mode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BitsPerMsg!$A$32:$A$79</c:f>
              <c:numCach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BitsPerMsg!$B$32:$B$79</c:f>
              <c:numCache>
                <c:ptCount val="48"/>
                <c:pt idx="0">
                  <c:v>0.0208125</c:v>
                </c:pt>
                <c:pt idx="1">
                  <c:v>0.041625</c:v>
                </c:pt>
                <c:pt idx="2">
                  <c:v>0.0624375</c:v>
                </c:pt>
                <c:pt idx="3">
                  <c:v>0.08325</c:v>
                </c:pt>
                <c:pt idx="4">
                  <c:v>0.1040625</c:v>
                </c:pt>
                <c:pt idx="5">
                  <c:v>0.124875</c:v>
                </c:pt>
                <c:pt idx="6">
                  <c:v>0.1456875</c:v>
                </c:pt>
                <c:pt idx="7">
                  <c:v>0.1665</c:v>
                </c:pt>
                <c:pt idx="8">
                  <c:v>0.1873125</c:v>
                </c:pt>
                <c:pt idx="9">
                  <c:v>0.208125</c:v>
                </c:pt>
                <c:pt idx="10">
                  <c:v>0.2289375</c:v>
                </c:pt>
                <c:pt idx="11">
                  <c:v>0.24975</c:v>
                </c:pt>
                <c:pt idx="12">
                  <c:v>0.2705625</c:v>
                </c:pt>
                <c:pt idx="13">
                  <c:v>0.291375</c:v>
                </c:pt>
                <c:pt idx="14">
                  <c:v>0.3121875</c:v>
                </c:pt>
                <c:pt idx="15">
                  <c:v>0.333</c:v>
                </c:pt>
                <c:pt idx="16">
                  <c:v>0.3538125</c:v>
                </c:pt>
                <c:pt idx="17">
                  <c:v>0.374625</c:v>
                </c:pt>
                <c:pt idx="18">
                  <c:v>0.3954375</c:v>
                </c:pt>
                <c:pt idx="19">
                  <c:v>0.41625</c:v>
                </c:pt>
                <c:pt idx="20">
                  <c:v>0.4370625</c:v>
                </c:pt>
                <c:pt idx="21">
                  <c:v>0.457875</c:v>
                </c:pt>
                <c:pt idx="22">
                  <c:v>0.4786875</c:v>
                </c:pt>
                <c:pt idx="23">
                  <c:v>0.4995</c:v>
                </c:pt>
                <c:pt idx="24">
                  <c:v>0.5203125</c:v>
                </c:pt>
                <c:pt idx="25">
                  <c:v>0.541125</c:v>
                </c:pt>
                <c:pt idx="26">
                  <c:v>0.5619375</c:v>
                </c:pt>
                <c:pt idx="27">
                  <c:v>0.58275</c:v>
                </c:pt>
                <c:pt idx="28">
                  <c:v>0.6035625</c:v>
                </c:pt>
                <c:pt idx="29">
                  <c:v>0.624375</c:v>
                </c:pt>
                <c:pt idx="30">
                  <c:v>0.6451875</c:v>
                </c:pt>
                <c:pt idx="31">
                  <c:v>0.666</c:v>
                </c:pt>
                <c:pt idx="32">
                  <c:v>0.6868125</c:v>
                </c:pt>
                <c:pt idx="33">
                  <c:v>0.707625</c:v>
                </c:pt>
                <c:pt idx="34">
                  <c:v>0.7284375</c:v>
                </c:pt>
                <c:pt idx="35">
                  <c:v>0.74925</c:v>
                </c:pt>
                <c:pt idx="36">
                  <c:v>0.7700625</c:v>
                </c:pt>
                <c:pt idx="37">
                  <c:v>0.790875</c:v>
                </c:pt>
                <c:pt idx="38">
                  <c:v>0.8116875</c:v>
                </c:pt>
                <c:pt idx="39">
                  <c:v>0.8325</c:v>
                </c:pt>
                <c:pt idx="40">
                  <c:v>0.8533125</c:v>
                </c:pt>
                <c:pt idx="41">
                  <c:v>0.874125</c:v>
                </c:pt>
                <c:pt idx="42">
                  <c:v>0.8949375</c:v>
                </c:pt>
                <c:pt idx="43">
                  <c:v>0.91575</c:v>
                </c:pt>
                <c:pt idx="44">
                  <c:v>0.9365625</c:v>
                </c:pt>
                <c:pt idx="45">
                  <c:v>0.957375</c:v>
                </c:pt>
                <c:pt idx="46">
                  <c:v>0.9781875</c:v>
                </c:pt>
                <c:pt idx="47">
                  <c:v>0.999</c:v>
                </c:pt>
              </c:numCache>
            </c:numRef>
          </c:val>
          <c:smooth val="0"/>
        </c:ser>
        <c:ser>
          <c:idx val="0"/>
          <c:order val="1"/>
          <c:tx>
            <c:v>Byte-pipe Mode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BitsPerMsg!$A$32:$A$79</c:f>
              <c:numCach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BitsPerMsg!$D$32:$D$79</c:f>
              <c:numCache>
                <c:ptCount val="48"/>
                <c:pt idx="0">
                  <c:v>0.0208125</c:v>
                </c:pt>
                <c:pt idx="1">
                  <c:v>0.041625</c:v>
                </c:pt>
                <c:pt idx="2">
                  <c:v>0.0624375</c:v>
                </c:pt>
                <c:pt idx="3">
                  <c:v>0.08325</c:v>
                </c:pt>
                <c:pt idx="4">
                  <c:v>0.1040625</c:v>
                </c:pt>
                <c:pt idx="5">
                  <c:v>0.124875</c:v>
                </c:pt>
                <c:pt idx="6">
                  <c:v>0.1456875</c:v>
                </c:pt>
                <c:pt idx="7">
                  <c:v>0.1665</c:v>
                </c:pt>
                <c:pt idx="8">
                  <c:v>0.1873125</c:v>
                </c:pt>
                <c:pt idx="9">
                  <c:v>0.208125</c:v>
                </c:pt>
                <c:pt idx="10">
                  <c:v>0.2289375</c:v>
                </c:pt>
                <c:pt idx="11">
                  <c:v>0.24975</c:v>
                </c:pt>
                <c:pt idx="12">
                  <c:v>0.2705625</c:v>
                </c:pt>
                <c:pt idx="13">
                  <c:v>0.291375</c:v>
                </c:pt>
                <c:pt idx="14">
                  <c:v>0.3121875</c:v>
                </c:pt>
                <c:pt idx="15">
                  <c:v>0.333</c:v>
                </c:pt>
                <c:pt idx="16">
                  <c:v>0.3538125</c:v>
                </c:pt>
                <c:pt idx="17">
                  <c:v>0.374625</c:v>
                </c:pt>
                <c:pt idx="18">
                  <c:v>0.3954375</c:v>
                </c:pt>
                <c:pt idx="19">
                  <c:v>0.41625</c:v>
                </c:pt>
                <c:pt idx="20">
                  <c:v>0.4370625</c:v>
                </c:pt>
                <c:pt idx="21">
                  <c:v>0.457875</c:v>
                </c:pt>
                <c:pt idx="22">
                  <c:v>0.4786875</c:v>
                </c:pt>
                <c:pt idx="23">
                  <c:v>0.4995</c:v>
                </c:pt>
                <c:pt idx="24">
                  <c:v>0.5203125</c:v>
                </c:pt>
                <c:pt idx="25">
                  <c:v>0.541125</c:v>
                </c:pt>
                <c:pt idx="26">
                  <c:v>0.5619375</c:v>
                </c:pt>
                <c:pt idx="27">
                  <c:v>0.58275</c:v>
                </c:pt>
                <c:pt idx="28">
                  <c:v>0.6035625</c:v>
                </c:pt>
                <c:pt idx="29">
                  <c:v>0.624375</c:v>
                </c:pt>
                <c:pt idx="30">
                  <c:v>0.6451875</c:v>
                </c:pt>
                <c:pt idx="31">
                  <c:v>0.666</c:v>
                </c:pt>
                <c:pt idx="32">
                  <c:v>0.6868125</c:v>
                </c:pt>
                <c:pt idx="33">
                  <c:v>0.707625</c:v>
                </c:pt>
                <c:pt idx="34">
                  <c:v>0.7284375</c:v>
                </c:pt>
                <c:pt idx="35">
                  <c:v>0.74925</c:v>
                </c:pt>
                <c:pt idx="36">
                  <c:v>0.7700625</c:v>
                </c:pt>
                <c:pt idx="37">
                  <c:v>0.790875</c:v>
                </c:pt>
                <c:pt idx="38">
                  <c:v>0.8116875</c:v>
                </c:pt>
                <c:pt idx="39">
                  <c:v>0.8325</c:v>
                </c:pt>
                <c:pt idx="40">
                  <c:v>0.8533125</c:v>
                </c:pt>
                <c:pt idx="41">
                  <c:v>0.874125</c:v>
                </c:pt>
                <c:pt idx="42">
                  <c:v>0.8949375</c:v>
                </c:pt>
                <c:pt idx="43">
                  <c:v>0.91575</c:v>
                </c:pt>
                <c:pt idx="44">
                  <c:v>0.9365625</c:v>
                </c:pt>
                <c:pt idx="45">
                  <c:v>0.957375</c:v>
                </c:pt>
                <c:pt idx="46">
                  <c:v>0.9781875</c:v>
                </c:pt>
                <c:pt idx="47">
                  <c:v>0.999</c:v>
                </c:pt>
              </c:numCache>
            </c:numRef>
          </c:val>
          <c:smooth val="0"/>
        </c:ser>
        <c:ser>
          <c:idx val="2"/>
          <c:order val="2"/>
          <c:tx>
            <c:v>Mux Mode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BitsPerMsg!$A$32:$A$79</c:f>
              <c:numCach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BitsPerMsg!$F$32:$F$61</c:f>
              <c:numCache>
                <c:ptCount val="30"/>
                <c:pt idx="0">
                  <c:v>0.0325</c:v>
                </c:pt>
                <c:pt idx="1">
                  <c:v>0.065</c:v>
                </c:pt>
                <c:pt idx="2">
                  <c:v>0.0975</c:v>
                </c:pt>
                <c:pt idx="3">
                  <c:v>0.13</c:v>
                </c:pt>
                <c:pt idx="4">
                  <c:v>0.1625</c:v>
                </c:pt>
                <c:pt idx="5">
                  <c:v>0.195</c:v>
                </c:pt>
                <c:pt idx="6">
                  <c:v>0.2275</c:v>
                </c:pt>
                <c:pt idx="7">
                  <c:v>0.26</c:v>
                </c:pt>
                <c:pt idx="8">
                  <c:v>0.2925</c:v>
                </c:pt>
                <c:pt idx="9">
                  <c:v>0.325</c:v>
                </c:pt>
                <c:pt idx="10">
                  <c:v>0.3575</c:v>
                </c:pt>
                <c:pt idx="11">
                  <c:v>0.39</c:v>
                </c:pt>
                <c:pt idx="12">
                  <c:v>0.4225</c:v>
                </c:pt>
                <c:pt idx="13">
                  <c:v>0.455</c:v>
                </c:pt>
                <c:pt idx="14">
                  <c:v>0.4875</c:v>
                </c:pt>
                <c:pt idx="15">
                  <c:v>0.52</c:v>
                </c:pt>
                <c:pt idx="16">
                  <c:v>0.5525</c:v>
                </c:pt>
                <c:pt idx="17">
                  <c:v>0.585</c:v>
                </c:pt>
                <c:pt idx="18">
                  <c:v>0.6175</c:v>
                </c:pt>
                <c:pt idx="19">
                  <c:v>0.65</c:v>
                </c:pt>
                <c:pt idx="20">
                  <c:v>0.6825</c:v>
                </c:pt>
                <c:pt idx="21">
                  <c:v>0.715</c:v>
                </c:pt>
                <c:pt idx="22">
                  <c:v>0.7475</c:v>
                </c:pt>
                <c:pt idx="23">
                  <c:v>0.78</c:v>
                </c:pt>
                <c:pt idx="24">
                  <c:v>0.8125</c:v>
                </c:pt>
                <c:pt idx="25">
                  <c:v>0.845</c:v>
                </c:pt>
                <c:pt idx="26">
                  <c:v>0.8775</c:v>
                </c:pt>
                <c:pt idx="27">
                  <c:v>0.91</c:v>
                </c:pt>
                <c:pt idx="28">
                  <c:v>0.9425</c:v>
                </c:pt>
                <c:pt idx="29">
                  <c:v>0.975</c:v>
                </c:pt>
              </c:numCache>
            </c:numRef>
          </c:val>
          <c:smooth val="0"/>
        </c:ser>
        <c:marker val="1"/>
        <c:axId val="24476225"/>
        <c:axId val="18959434"/>
      </c:lineChart>
      <c:catAx>
        <c:axId val="24476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Count of Modules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59434"/>
        <c:crosses val="autoZero"/>
        <c:auto val="1"/>
        <c:lblOffset val="100"/>
        <c:tickLblSkip val="5"/>
        <c:tickMarkSkip val="5"/>
        <c:noMultiLvlLbl val="0"/>
      </c:catAx>
      <c:valAx>
        <c:axId val="1895943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 of CAN Bus used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76225"/>
        <c:crossesAt val="1"/>
        <c:crossBetween val="between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69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Byte-pipe data bus utilization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4"/>
          <c:w val="0.92325"/>
          <c:h val="0.8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BitsPerMsg!$I$31</c:f>
              <c:strCache>
                <c:ptCount val="1"/>
                <c:pt idx="0">
                  <c:v>TotPkts/Sec</c:v>
                </c:pt>
              </c:strCache>
            </c:strRef>
          </c:tx>
          <c:spPr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BitsPerMsg!$H$32:$H$81</c:f>
              <c:numCache>
                <c:ptCount val="5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0.12000000000000001</c:v>
                </c:pt>
                <c:pt idx="6">
                  <c:v>0.14</c:v>
                </c:pt>
                <c:pt idx="7">
                  <c:v>0.16</c:v>
                </c:pt>
                <c:pt idx="8">
                  <c:v>0.18</c:v>
                </c:pt>
                <c:pt idx="9">
                  <c:v>0.19999999999999998</c:v>
                </c:pt>
                <c:pt idx="10">
                  <c:v>0.21999999999999997</c:v>
                </c:pt>
                <c:pt idx="11">
                  <c:v>0.23999999999999996</c:v>
                </c:pt>
                <c:pt idx="12">
                  <c:v>0.25999999999999995</c:v>
                </c:pt>
                <c:pt idx="13">
                  <c:v>0.27999999999999997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0.36000000000000004</c:v>
                </c:pt>
                <c:pt idx="18">
                  <c:v>0.38000000000000006</c:v>
                </c:pt>
                <c:pt idx="19">
                  <c:v>0.4000000000000001</c:v>
                </c:pt>
                <c:pt idx="20">
                  <c:v>0.4200000000000001</c:v>
                </c:pt>
                <c:pt idx="21">
                  <c:v>0.4400000000000001</c:v>
                </c:pt>
                <c:pt idx="22">
                  <c:v>0.46000000000000013</c:v>
                </c:pt>
                <c:pt idx="23">
                  <c:v>0.48000000000000015</c:v>
                </c:pt>
                <c:pt idx="24">
                  <c:v>0.5000000000000001</c:v>
                </c:pt>
                <c:pt idx="25">
                  <c:v>0.5200000000000001</c:v>
                </c:pt>
                <c:pt idx="26">
                  <c:v>0.5400000000000001</c:v>
                </c:pt>
                <c:pt idx="27">
                  <c:v>0.5600000000000002</c:v>
                </c:pt>
                <c:pt idx="28">
                  <c:v>0.5800000000000002</c:v>
                </c:pt>
                <c:pt idx="29">
                  <c:v>0.6000000000000002</c:v>
                </c:pt>
                <c:pt idx="30">
                  <c:v>0.6200000000000002</c:v>
                </c:pt>
                <c:pt idx="31">
                  <c:v>0.6400000000000002</c:v>
                </c:pt>
                <c:pt idx="32">
                  <c:v>0.6600000000000003</c:v>
                </c:pt>
                <c:pt idx="33">
                  <c:v>0.6800000000000003</c:v>
                </c:pt>
                <c:pt idx="34">
                  <c:v>0.7000000000000003</c:v>
                </c:pt>
                <c:pt idx="35">
                  <c:v>0.7200000000000003</c:v>
                </c:pt>
                <c:pt idx="36">
                  <c:v>0.7400000000000003</c:v>
                </c:pt>
                <c:pt idx="37">
                  <c:v>0.7600000000000003</c:v>
                </c:pt>
                <c:pt idx="38">
                  <c:v>0.7800000000000004</c:v>
                </c:pt>
                <c:pt idx="39">
                  <c:v>0.8000000000000004</c:v>
                </c:pt>
                <c:pt idx="40">
                  <c:v>0.8200000000000004</c:v>
                </c:pt>
                <c:pt idx="41">
                  <c:v>0.8400000000000004</c:v>
                </c:pt>
                <c:pt idx="42">
                  <c:v>0.8600000000000004</c:v>
                </c:pt>
                <c:pt idx="43">
                  <c:v>0.8800000000000004</c:v>
                </c:pt>
                <c:pt idx="44">
                  <c:v>0.9000000000000005</c:v>
                </c:pt>
                <c:pt idx="45">
                  <c:v>0.9200000000000005</c:v>
                </c:pt>
                <c:pt idx="46">
                  <c:v>0.9400000000000005</c:v>
                </c:pt>
                <c:pt idx="47">
                  <c:v>0.9600000000000005</c:v>
                </c:pt>
                <c:pt idx="48">
                  <c:v>0.9800000000000005</c:v>
                </c:pt>
                <c:pt idx="49">
                  <c:v>1.0000000000000004</c:v>
                </c:pt>
              </c:numCache>
            </c:numRef>
          </c:cat>
          <c:val>
            <c:numRef>
              <c:f>BitsPerMsg!$I$32:$I$81</c:f>
              <c:numCache>
                <c:ptCount val="50"/>
                <c:pt idx="0">
                  <c:v>123</c:v>
                </c:pt>
                <c:pt idx="1">
                  <c:v>246</c:v>
                </c:pt>
                <c:pt idx="2">
                  <c:v>369</c:v>
                </c:pt>
                <c:pt idx="3">
                  <c:v>492</c:v>
                </c:pt>
                <c:pt idx="4">
                  <c:v>615</c:v>
                </c:pt>
                <c:pt idx="5">
                  <c:v>738</c:v>
                </c:pt>
                <c:pt idx="6">
                  <c:v>861</c:v>
                </c:pt>
                <c:pt idx="7">
                  <c:v>984</c:v>
                </c:pt>
                <c:pt idx="8">
                  <c:v>1107</c:v>
                </c:pt>
                <c:pt idx="9">
                  <c:v>1230</c:v>
                </c:pt>
                <c:pt idx="10">
                  <c:v>1353</c:v>
                </c:pt>
                <c:pt idx="11">
                  <c:v>1476</c:v>
                </c:pt>
                <c:pt idx="12">
                  <c:v>1600</c:v>
                </c:pt>
                <c:pt idx="13">
                  <c:v>1723</c:v>
                </c:pt>
                <c:pt idx="14">
                  <c:v>1846</c:v>
                </c:pt>
                <c:pt idx="15">
                  <c:v>1969</c:v>
                </c:pt>
                <c:pt idx="16">
                  <c:v>2092</c:v>
                </c:pt>
                <c:pt idx="17">
                  <c:v>2215</c:v>
                </c:pt>
                <c:pt idx="18">
                  <c:v>2338</c:v>
                </c:pt>
                <c:pt idx="19">
                  <c:v>2461</c:v>
                </c:pt>
                <c:pt idx="20">
                  <c:v>2584</c:v>
                </c:pt>
                <c:pt idx="21">
                  <c:v>2707</c:v>
                </c:pt>
                <c:pt idx="22">
                  <c:v>2830</c:v>
                </c:pt>
                <c:pt idx="23">
                  <c:v>2953</c:v>
                </c:pt>
                <c:pt idx="24">
                  <c:v>3076</c:v>
                </c:pt>
                <c:pt idx="25">
                  <c:v>3200</c:v>
                </c:pt>
                <c:pt idx="26">
                  <c:v>3323</c:v>
                </c:pt>
                <c:pt idx="27">
                  <c:v>3446</c:v>
                </c:pt>
                <c:pt idx="28">
                  <c:v>3569</c:v>
                </c:pt>
                <c:pt idx="29">
                  <c:v>3692</c:v>
                </c:pt>
                <c:pt idx="30">
                  <c:v>3815</c:v>
                </c:pt>
                <c:pt idx="31">
                  <c:v>3938</c:v>
                </c:pt>
                <c:pt idx="32">
                  <c:v>4061</c:v>
                </c:pt>
                <c:pt idx="33">
                  <c:v>4184</c:v>
                </c:pt>
                <c:pt idx="34">
                  <c:v>4307</c:v>
                </c:pt>
                <c:pt idx="35">
                  <c:v>4430</c:v>
                </c:pt>
                <c:pt idx="36">
                  <c:v>4553</c:v>
                </c:pt>
                <c:pt idx="37">
                  <c:v>4676</c:v>
                </c:pt>
                <c:pt idx="38">
                  <c:v>4800</c:v>
                </c:pt>
                <c:pt idx="39">
                  <c:v>4923</c:v>
                </c:pt>
                <c:pt idx="40">
                  <c:v>5046</c:v>
                </c:pt>
                <c:pt idx="41">
                  <c:v>5169</c:v>
                </c:pt>
                <c:pt idx="42">
                  <c:v>5292</c:v>
                </c:pt>
                <c:pt idx="43">
                  <c:v>5415</c:v>
                </c:pt>
                <c:pt idx="44">
                  <c:v>5538</c:v>
                </c:pt>
                <c:pt idx="45">
                  <c:v>5661</c:v>
                </c:pt>
                <c:pt idx="46">
                  <c:v>5784</c:v>
                </c:pt>
                <c:pt idx="47">
                  <c:v>5907</c:v>
                </c:pt>
                <c:pt idx="48">
                  <c:v>6030</c:v>
                </c:pt>
                <c:pt idx="49">
                  <c:v>6153</c:v>
                </c:pt>
              </c:numCache>
            </c:numRef>
          </c:val>
        </c:ser>
        <c:axId val="36417179"/>
        <c:axId val="59319156"/>
      </c:barChart>
      <c:lineChart>
        <c:grouping val="standard"/>
        <c:varyColors val="0"/>
        <c:ser>
          <c:idx val="0"/>
          <c:order val="1"/>
          <c:tx>
            <c:strRef>
              <c:f>BitsPerMsg!$J$31</c:f>
              <c:strCache>
                <c:ptCount val="1"/>
                <c:pt idx="0">
                  <c:v>Bytes/Sec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BitsPerMsg!$J$32:$J$81</c:f>
              <c:numCache>
                <c:ptCount val="50"/>
                <c:pt idx="0">
                  <c:v>984</c:v>
                </c:pt>
                <c:pt idx="1">
                  <c:v>1968</c:v>
                </c:pt>
                <c:pt idx="2">
                  <c:v>2952</c:v>
                </c:pt>
                <c:pt idx="3">
                  <c:v>3936</c:v>
                </c:pt>
                <c:pt idx="4">
                  <c:v>4920</c:v>
                </c:pt>
                <c:pt idx="5">
                  <c:v>5904</c:v>
                </c:pt>
                <c:pt idx="6">
                  <c:v>6888</c:v>
                </c:pt>
                <c:pt idx="7">
                  <c:v>7872</c:v>
                </c:pt>
                <c:pt idx="8">
                  <c:v>8856</c:v>
                </c:pt>
                <c:pt idx="9">
                  <c:v>9840</c:v>
                </c:pt>
                <c:pt idx="10">
                  <c:v>10824</c:v>
                </c:pt>
                <c:pt idx="11">
                  <c:v>11808</c:v>
                </c:pt>
                <c:pt idx="12">
                  <c:v>12800</c:v>
                </c:pt>
                <c:pt idx="13">
                  <c:v>13784</c:v>
                </c:pt>
                <c:pt idx="14">
                  <c:v>14768</c:v>
                </c:pt>
                <c:pt idx="15">
                  <c:v>15752</c:v>
                </c:pt>
                <c:pt idx="16">
                  <c:v>16736</c:v>
                </c:pt>
                <c:pt idx="17">
                  <c:v>17720</c:v>
                </c:pt>
                <c:pt idx="18">
                  <c:v>18704</c:v>
                </c:pt>
                <c:pt idx="19">
                  <c:v>19688</c:v>
                </c:pt>
                <c:pt idx="20">
                  <c:v>20672</c:v>
                </c:pt>
                <c:pt idx="21">
                  <c:v>21656</c:v>
                </c:pt>
                <c:pt idx="22">
                  <c:v>22640</c:v>
                </c:pt>
                <c:pt idx="23">
                  <c:v>23624</c:v>
                </c:pt>
                <c:pt idx="24">
                  <c:v>24608</c:v>
                </c:pt>
                <c:pt idx="25">
                  <c:v>25600</c:v>
                </c:pt>
                <c:pt idx="26">
                  <c:v>26584</c:v>
                </c:pt>
                <c:pt idx="27">
                  <c:v>27568</c:v>
                </c:pt>
                <c:pt idx="28">
                  <c:v>28552</c:v>
                </c:pt>
                <c:pt idx="29">
                  <c:v>29536</c:v>
                </c:pt>
                <c:pt idx="30">
                  <c:v>30520</c:v>
                </c:pt>
                <c:pt idx="31">
                  <c:v>31504</c:v>
                </c:pt>
                <c:pt idx="32">
                  <c:v>32488</c:v>
                </c:pt>
                <c:pt idx="33">
                  <c:v>33472</c:v>
                </c:pt>
                <c:pt idx="34">
                  <c:v>34456</c:v>
                </c:pt>
                <c:pt idx="35">
                  <c:v>35440</c:v>
                </c:pt>
                <c:pt idx="36">
                  <c:v>36424</c:v>
                </c:pt>
                <c:pt idx="37">
                  <c:v>37408</c:v>
                </c:pt>
                <c:pt idx="38">
                  <c:v>38400</c:v>
                </c:pt>
                <c:pt idx="39">
                  <c:v>39384</c:v>
                </c:pt>
                <c:pt idx="40">
                  <c:v>40368</c:v>
                </c:pt>
                <c:pt idx="41">
                  <c:v>41352</c:v>
                </c:pt>
                <c:pt idx="42">
                  <c:v>42336</c:v>
                </c:pt>
                <c:pt idx="43">
                  <c:v>43320</c:v>
                </c:pt>
                <c:pt idx="44">
                  <c:v>44304</c:v>
                </c:pt>
                <c:pt idx="45">
                  <c:v>45288</c:v>
                </c:pt>
                <c:pt idx="46">
                  <c:v>46272</c:v>
                </c:pt>
                <c:pt idx="47">
                  <c:v>47256</c:v>
                </c:pt>
                <c:pt idx="48">
                  <c:v>48240</c:v>
                </c:pt>
                <c:pt idx="49">
                  <c:v>49224</c:v>
                </c:pt>
              </c:numCache>
            </c:numRef>
          </c:val>
          <c:smooth val="0"/>
        </c:ser>
        <c:axId val="64110357"/>
        <c:axId val="40122302"/>
      </c:lineChart>
      <c:catAx>
        <c:axId val="36417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CAN bus Used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319156"/>
        <c:crosses val="autoZero"/>
        <c:auto val="0"/>
        <c:lblOffset val="100"/>
        <c:tickLblSkip val="2"/>
        <c:noMultiLvlLbl val="0"/>
      </c:catAx>
      <c:valAx>
        <c:axId val="59319156"/>
        <c:scaling>
          <c:orientation val="minMax"/>
          <c:max val="6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8-byte Pkts per 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417179"/>
        <c:crossesAt val="1"/>
        <c:crossBetween val="midCat"/>
        <c:dispUnits/>
        <c:majorUnit val="500"/>
        <c:minorUnit val="100"/>
      </c:valAx>
      <c:catAx>
        <c:axId val="64110357"/>
        <c:scaling>
          <c:orientation val="minMax"/>
        </c:scaling>
        <c:axPos val="b"/>
        <c:delete val="1"/>
        <c:majorTickMark val="in"/>
        <c:minorTickMark val="none"/>
        <c:tickLblPos val="nextTo"/>
        <c:crossAx val="40122302"/>
        <c:crosses val="autoZero"/>
        <c:auto val="0"/>
        <c:lblOffset val="100"/>
        <c:tickLblSkip val="1"/>
        <c:noMultiLvlLbl val="0"/>
      </c:catAx>
      <c:valAx>
        <c:axId val="40122302"/>
        <c:scaling>
          <c:orientation val="minMax"/>
          <c:max val="6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Bytes per 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110357"/>
        <c:crosses val="max"/>
        <c:crossBetween val="midCat"/>
        <c:dispUnits/>
        <c:majorUnit val="5000"/>
        <c:minorUnit val="1000"/>
      </c:valAx>
      <c:spPr>
        <a:solidFill>
          <a:srgbClr val="C0C0C0"/>
        </a:solidFill>
        <a:ln w="12700">
          <a:solidFill>
            <a:srgbClr val="99CC00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7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headerFooter>
    <oddHeader>&amp;A</oddHeader>
    <oddFooter>&amp;L&amp;F [&amp;A]&amp;RPage &amp;Pof&amp;N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headerFooter>
    <oddHeader>&amp;A</oddHeader>
    <oddFooter>&amp;L&amp;F [&amp;A]&amp;RPage &amp;Pof&amp;N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867400"/>
    <xdr:graphicFrame>
      <xdr:nvGraphicFramePr>
        <xdr:cNvPr id="1" name="Chart 1"/>
        <xdr:cNvGraphicFramePr/>
      </xdr:nvGraphicFramePr>
      <xdr:xfrm>
        <a:off x="0" y="0"/>
        <a:ext cx="8696325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867400"/>
    <xdr:graphicFrame>
      <xdr:nvGraphicFramePr>
        <xdr:cNvPr id="1" name="Shape 1025"/>
        <xdr:cNvGraphicFramePr/>
      </xdr:nvGraphicFramePr>
      <xdr:xfrm>
        <a:off x="0" y="0"/>
        <a:ext cx="8696325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="115" zoomScaleNormal="115" workbookViewId="0" topLeftCell="A1">
      <selection activeCell="A4" sqref="A4"/>
    </sheetView>
  </sheetViews>
  <sheetFormatPr defaultColWidth="9.140625" defaultRowHeight="12.75"/>
  <cols>
    <col min="1" max="1" width="35.00390625" style="1" customWidth="1"/>
    <col min="2" max="2" width="14.7109375" style="1" customWidth="1"/>
    <col min="3" max="3" width="11.7109375" style="0" customWidth="1"/>
    <col min="4" max="4" width="10.7109375" style="0" customWidth="1"/>
    <col min="5" max="5" width="23.421875" style="0" customWidth="1"/>
    <col min="6" max="16384" width="14.7109375" style="0" customWidth="1"/>
  </cols>
  <sheetData>
    <row r="1" spans="1:7" s="3" customFormat="1" ht="12.75">
      <c r="A1" s="64" t="s">
        <v>55</v>
      </c>
      <c r="B1" s="17"/>
      <c r="C1" s="17"/>
      <c r="D1" s="17"/>
      <c r="E1" s="17"/>
      <c r="F1"/>
      <c r="G1"/>
    </row>
    <row r="2" spans="1:7" s="3" customFormat="1" ht="12.75">
      <c r="A2" s="73" t="s">
        <v>37</v>
      </c>
      <c r="B2" s="17"/>
      <c r="C2" s="17"/>
      <c r="D2" s="17"/>
      <c r="E2" s="17"/>
      <c r="F2"/>
      <c r="G2"/>
    </row>
    <row r="3" spans="1:7" s="3" customFormat="1" ht="12.75">
      <c r="A3" s="72"/>
      <c r="B3" s="17"/>
      <c r="C3" s="17"/>
      <c r="D3" s="17"/>
      <c r="E3" s="17"/>
      <c r="F3"/>
      <c r="G3"/>
    </row>
    <row r="4" spans="1:7" s="3" customFormat="1" ht="63.75">
      <c r="A4" s="42" t="s">
        <v>56</v>
      </c>
      <c r="B4" s="65" t="s">
        <v>63</v>
      </c>
      <c r="C4" s="65" t="s">
        <v>60</v>
      </c>
      <c r="D4" s="65" t="s">
        <v>61</v>
      </c>
      <c r="E4" s="43"/>
      <c r="F4"/>
      <c r="G4"/>
    </row>
    <row r="5" spans="1:5" ht="12.75">
      <c r="A5" s="59" t="s">
        <v>67</v>
      </c>
      <c r="B5" s="73">
        <v>19</v>
      </c>
      <c r="C5" s="53">
        <f>StdConfig</f>
        <v>333</v>
      </c>
      <c r="D5" s="54">
        <f>(B5*C5*IHUpollRate)/CANbusBaud</f>
        <v>0.3954375</v>
      </c>
      <c r="E5" s="7"/>
    </row>
    <row r="6" spans="1:5" ht="12.75">
      <c r="A6" s="59" t="s">
        <v>19</v>
      </c>
      <c r="B6" s="73">
        <v>2</v>
      </c>
      <c r="C6" s="53">
        <f>MuxConfig</f>
        <v>520</v>
      </c>
      <c r="D6" s="54">
        <f>(B6*C6*IHUpollRate)/CANbusBaud</f>
        <v>0.065</v>
      </c>
      <c r="E6" s="7"/>
    </row>
    <row r="7" spans="1:5" ht="13.5" thickBot="1">
      <c r="A7" s="59" t="s">
        <v>20</v>
      </c>
      <c r="B7" s="75">
        <v>2</v>
      </c>
      <c r="C7" s="53">
        <f>PipeConfig</f>
        <v>333</v>
      </c>
      <c r="D7" s="54">
        <f>(B7*C7*IHUpollRate)/CANbusBaud</f>
        <v>0.041625</v>
      </c>
      <c r="E7" s="7"/>
    </row>
    <row r="8" spans="1:5" ht="13.5" thickBot="1">
      <c r="A8" s="59" t="s">
        <v>62</v>
      </c>
      <c r="B8" s="76">
        <f>SUM(B5:B7)</f>
        <v>23</v>
      </c>
      <c r="C8" s="6"/>
      <c r="D8" s="119">
        <f>SUM(D5:D7)</f>
        <v>0.5020625</v>
      </c>
      <c r="E8" s="120" t="s">
        <v>22</v>
      </c>
    </row>
    <row r="9" spans="1:5" ht="12.75">
      <c r="A9" s="50"/>
      <c r="B9" s="66"/>
      <c r="C9" s="12"/>
      <c r="D9" s="67">
        <f>1-D8</f>
        <v>0.49793750000000003</v>
      </c>
      <c r="E9" s="68" t="s">
        <v>26</v>
      </c>
    </row>
    <row r="10" spans="1:5" ht="12.75">
      <c r="A10" s="9"/>
      <c r="B10" s="55"/>
      <c r="C10" s="6"/>
      <c r="D10" s="56"/>
      <c r="E10" s="57"/>
    </row>
    <row r="11" spans="1:5" ht="12.75">
      <c r="A11" s="69" t="s">
        <v>58</v>
      </c>
      <c r="B11" s="70"/>
      <c r="C11" s="20"/>
      <c r="D11" s="20"/>
      <c r="E11" s="71"/>
    </row>
    <row r="12" spans="1:5" ht="12.75">
      <c r="A12" s="121" t="s">
        <v>23</v>
      </c>
      <c r="B12" s="74">
        <v>0.01</v>
      </c>
      <c r="C12" s="51" t="s">
        <v>59</v>
      </c>
      <c r="D12" s="12"/>
      <c r="E12" s="13"/>
    </row>
    <row r="13" spans="1:5" ht="12.75">
      <c r="A13" s="9"/>
      <c r="B13" s="58"/>
      <c r="C13" s="6"/>
      <c r="D13" s="6"/>
      <c r="E13" s="6"/>
    </row>
    <row r="14" spans="1:5" ht="12.75">
      <c r="A14" s="125" t="s">
        <v>57</v>
      </c>
      <c r="B14" s="126"/>
      <c r="C14" s="126"/>
      <c r="D14" s="20"/>
      <c r="E14" s="71"/>
    </row>
    <row r="15" spans="1:5" ht="12.75">
      <c r="A15" s="8"/>
      <c r="B15" s="17" t="s">
        <v>7</v>
      </c>
      <c r="C15" s="17" t="s">
        <v>18</v>
      </c>
      <c r="D15" s="6"/>
      <c r="E15" s="7"/>
    </row>
    <row r="16" spans="1:5" ht="12.75">
      <c r="A16" s="59" t="s">
        <v>24</v>
      </c>
      <c r="B16" s="122">
        <f>INT(((CANbusBaud*PctBus4Data*PipeIHU2Module_is_Pcnt_of_PipeTrffc)/Nbr_Byte_pipe_Modules)/Max8BytePktBits)</f>
        <v>15</v>
      </c>
      <c r="C16" s="60">
        <f>B16*8</f>
        <v>120</v>
      </c>
      <c r="D16" s="61"/>
      <c r="E16" s="62"/>
    </row>
    <row r="17" spans="1:5" ht="12.75">
      <c r="A17" s="59" t="s">
        <v>25</v>
      </c>
      <c r="B17" s="122">
        <f>INT(((CANbusBaud*PctBus4Data*(1-PipeIHU2Module_is_Pcnt_of_PipeTrffc))/Nbr_Byte_pipe_Modules)/Max8BytePktBits)</f>
        <v>1516</v>
      </c>
      <c r="C17" s="60">
        <f>B17*8</f>
        <v>12128</v>
      </c>
      <c r="D17" s="61"/>
      <c r="E17" s="62"/>
    </row>
    <row r="18" spans="1:5" ht="12.75">
      <c r="A18" s="8"/>
      <c r="B18" s="9"/>
      <c r="C18" s="6"/>
      <c r="D18" s="6"/>
      <c r="E18" s="7"/>
    </row>
    <row r="19" spans="1:5" ht="12.75">
      <c r="A19" s="8"/>
      <c r="B19" s="9"/>
      <c r="C19" s="63">
        <f>SUM(C16:C17)</f>
        <v>12248</v>
      </c>
      <c r="D19" s="127" t="s">
        <v>27</v>
      </c>
      <c r="E19" s="128"/>
    </row>
    <row r="20" spans="1:5" ht="12.75">
      <c r="A20" s="50"/>
      <c r="B20" s="123">
        <f>SUM(B16:B17)</f>
        <v>1531</v>
      </c>
      <c r="C20" s="129" t="s">
        <v>28</v>
      </c>
      <c r="D20" s="129"/>
      <c r="E20" s="130"/>
    </row>
    <row r="21" spans="1:2" ht="12.75">
      <c r="A21"/>
      <c r="B21"/>
    </row>
    <row r="22" spans="1:2" ht="12.75">
      <c r="A22" t="s">
        <v>38</v>
      </c>
      <c r="B22"/>
    </row>
    <row r="23" spans="1:5" ht="27.75" customHeight="1">
      <c r="A23" s="131" t="s">
        <v>39</v>
      </c>
      <c r="B23" s="131"/>
      <c r="C23" s="131"/>
      <c r="D23" s="131"/>
      <c r="E23" s="131"/>
    </row>
    <row r="24" spans="1:2" ht="12.75">
      <c r="A24"/>
      <c r="B24"/>
    </row>
    <row r="25" spans="1:5" ht="12.75">
      <c r="A25" s="124" t="s">
        <v>64</v>
      </c>
      <c r="B25" s="124"/>
      <c r="C25" s="124"/>
      <c r="D25" s="124"/>
      <c r="E25" s="124"/>
    </row>
    <row r="26" spans="1:2" ht="12.75">
      <c r="A26"/>
      <c r="B26"/>
    </row>
    <row r="27" spans="1:2" ht="12.75">
      <c r="A27"/>
      <c r="B27"/>
    </row>
    <row r="28" spans="1:2" ht="12.75">
      <c r="A28"/>
      <c r="B28"/>
    </row>
    <row r="29" spans="1:2" ht="12.75">
      <c r="A29"/>
      <c r="B29"/>
    </row>
  </sheetData>
  <mergeCells count="5">
    <mergeCell ref="A25:E25"/>
    <mergeCell ref="A14:C14"/>
    <mergeCell ref="D19:E19"/>
    <mergeCell ref="C20:E20"/>
    <mergeCell ref="A23:E23"/>
  </mergeCells>
  <printOptions horizontalCentered="1"/>
  <pageMargins left="0.5" right="0.5" top="1" bottom="1" header="0.5" footer="0.5"/>
  <pageSetup horizontalDpi="600" verticalDpi="600" orientation="portrait" r:id="rId1"/>
  <headerFooter alignWithMargins="0">
    <oddHeader>&amp;C&amp;A&amp;R&amp;D-&amp;T</oddHeader>
    <oddFooter>&amp;L&amp;F [&amp;A]&amp;RPage &amp;Pof&amp;N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81"/>
  <sheetViews>
    <sheetView workbookViewId="0" topLeftCell="A28">
      <selection activeCell="K23" sqref="K23"/>
    </sheetView>
  </sheetViews>
  <sheetFormatPr defaultColWidth="9.140625" defaultRowHeight="12.75"/>
  <cols>
    <col min="1" max="1" width="12.28125" style="1" customWidth="1"/>
    <col min="2" max="4" width="9.7109375" style="0" customWidth="1"/>
    <col min="5" max="6" width="8.7109375" style="0" customWidth="1"/>
    <col min="7" max="7" width="9.28125" style="0" bestFit="1" customWidth="1"/>
    <col min="8" max="8" width="8.7109375" style="0" customWidth="1"/>
    <col min="9" max="9" width="9.7109375" style="0" customWidth="1"/>
    <col min="10" max="10" width="10.7109375" style="0" customWidth="1"/>
    <col min="11" max="11" width="12.421875" style="0" bestFit="1" customWidth="1"/>
    <col min="12" max="12" width="9.57421875" style="0" bestFit="1" customWidth="1"/>
    <col min="13" max="13" width="10.7109375" style="0" bestFit="1" customWidth="1"/>
    <col min="14" max="14" width="10.7109375" style="5" bestFit="1" customWidth="1"/>
    <col min="15" max="15" width="10.421875" style="0" bestFit="1" customWidth="1"/>
    <col min="16" max="16" width="10.28125" style="0" bestFit="1" customWidth="1"/>
    <col min="17" max="17" width="9.28125" style="5" bestFit="1" customWidth="1"/>
  </cols>
  <sheetData>
    <row r="1" spans="1:17" ht="12.75">
      <c r="A1" s="93">
        <v>800000</v>
      </c>
      <c r="B1" s="139" t="s">
        <v>30</v>
      </c>
      <c r="C1" s="139"/>
      <c r="D1" s="140"/>
      <c r="G1" s="94">
        <v>50</v>
      </c>
      <c r="H1" s="139" t="s">
        <v>29</v>
      </c>
      <c r="I1" s="139"/>
      <c r="J1" s="140"/>
      <c r="N1"/>
      <c r="O1" s="5"/>
      <c r="P1" s="5"/>
      <c r="Q1"/>
    </row>
    <row r="2" spans="1:17" ht="12.75">
      <c r="A2" s="16"/>
      <c r="G2" s="14"/>
      <c r="N2"/>
      <c r="O2" s="5"/>
      <c r="P2" s="5"/>
      <c r="Q2"/>
    </row>
    <row r="3" spans="3:17" ht="12.75">
      <c r="C3" s="141" t="s">
        <v>66</v>
      </c>
      <c r="D3" s="141"/>
      <c r="E3" s="141"/>
      <c r="F3" s="141"/>
      <c r="G3" s="141"/>
      <c r="O3" s="5"/>
      <c r="Q3"/>
    </row>
    <row r="4" spans="1:18" s="1" customFormat="1" ht="26.25" thickBot="1">
      <c r="A4" s="105"/>
      <c r="B4" s="106" t="s">
        <v>41</v>
      </c>
      <c r="C4" s="106" t="s">
        <v>42</v>
      </c>
      <c r="D4" s="106" t="s">
        <v>43</v>
      </c>
      <c r="E4" s="106" t="s">
        <v>44</v>
      </c>
      <c r="F4" s="106" t="s">
        <v>45</v>
      </c>
      <c r="G4" s="106" t="s">
        <v>46</v>
      </c>
      <c r="H4" s="106" t="s">
        <v>47</v>
      </c>
      <c r="I4" s="106" t="s">
        <v>48</v>
      </c>
      <c r="J4" s="107" t="s">
        <v>49</v>
      </c>
      <c r="K4"/>
      <c r="L4"/>
      <c r="M4"/>
      <c r="N4"/>
      <c r="O4"/>
      <c r="P4"/>
      <c r="Q4"/>
      <c r="R4"/>
    </row>
    <row r="5" spans="1:17" ht="12.75">
      <c r="A5" s="95" t="s">
        <v>0</v>
      </c>
      <c r="B5" s="96">
        <v>1</v>
      </c>
      <c r="C5" s="96">
        <v>1</v>
      </c>
      <c r="D5" s="96">
        <v>1</v>
      </c>
      <c r="E5" s="96">
        <v>1</v>
      </c>
      <c r="F5" s="96">
        <v>1</v>
      </c>
      <c r="G5" s="96">
        <v>1</v>
      </c>
      <c r="H5" s="96">
        <v>1</v>
      </c>
      <c r="I5" s="96">
        <v>1</v>
      </c>
      <c r="J5" s="97">
        <v>1</v>
      </c>
      <c r="N5"/>
      <c r="Q5"/>
    </row>
    <row r="6" spans="1:17" ht="12.75">
      <c r="A6" s="98" t="s">
        <v>54</v>
      </c>
      <c r="B6" s="96">
        <v>12</v>
      </c>
      <c r="C6" s="96">
        <v>12</v>
      </c>
      <c r="D6" s="96">
        <v>12</v>
      </c>
      <c r="E6" s="96">
        <v>12</v>
      </c>
      <c r="F6" s="96">
        <v>12</v>
      </c>
      <c r="G6" s="96">
        <v>12</v>
      </c>
      <c r="H6" s="96">
        <v>12</v>
      </c>
      <c r="I6" s="96">
        <v>12</v>
      </c>
      <c r="J6" s="97">
        <v>12</v>
      </c>
      <c r="N6"/>
      <c r="Q6"/>
    </row>
    <row r="7" spans="1:17" ht="12.75">
      <c r="A7" s="98" t="s">
        <v>1</v>
      </c>
      <c r="B7" s="96">
        <v>6</v>
      </c>
      <c r="C7" s="96">
        <v>6</v>
      </c>
      <c r="D7" s="96">
        <v>6</v>
      </c>
      <c r="E7" s="96">
        <v>6</v>
      </c>
      <c r="F7" s="96">
        <v>6</v>
      </c>
      <c r="G7" s="96">
        <v>6</v>
      </c>
      <c r="H7" s="96">
        <v>6</v>
      </c>
      <c r="I7" s="96">
        <v>6</v>
      </c>
      <c r="J7" s="97">
        <v>6</v>
      </c>
      <c r="N7"/>
      <c r="Q7"/>
    </row>
    <row r="8" spans="1:18" s="5" customFormat="1" ht="12.75">
      <c r="A8" s="99" t="s">
        <v>2</v>
      </c>
      <c r="B8" s="100">
        <v>0</v>
      </c>
      <c r="C8" s="100">
        <f>B8+8</f>
        <v>8</v>
      </c>
      <c r="D8" s="100">
        <f aca="true" t="shared" si="0" ref="D8:J8">C8+8</f>
        <v>16</v>
      </c>
      <c r="E8" s="100">
        <f t="shared" si="0"/>
        <v>24</v>
      </c>
      <c r="F8" s="100">
        <f t="shared" si="0"/>
        <v>32</v>
      </c>
      <c r="G8" s="100">
        <f t="shared" si="0"/>
        <v>40</v>
      </c>
      <c r="H8" s="100">
        <f t="shared" si="0"/>
        <v>48</v>
      </c>
      <c r="I8" s="100">
        <f t="shared" si="0"/>
        <v>56</v>
      </c>
      <c r="J8" s="101">
        <f t="shared" si="0"/>
        <v>64</v>
      </c>
      <c r="K8"/>
      <c r="L8"/>
      <c r="M8"/>
      <c r="N8"/>
      <c r="O8"/>
      <c r="P8"/>
      <c r="Q8"/>
      <c r="R8"/>
    </row>
    <row r="9" spans="1:17" ht="13.5" thickBot="1">
      <c r="A9" s="102" t="s">
        <v>3</v>
      </c>
      <c r="B9" s="103">
        <v>15</v>
      </c>
      <c r="C9" s="103">
        <v>15</v>
      </c>
      <c r="D9" s="103">
        <v>15</v>
      </c>
      <c r="E9" s="103">
        <v>15</v>
      </c>
      <c r="F9" s="103">
        <v>15</v>
      </c>
      <c r="G9" s="103">
        <v>15</v>
      </c>
      <c r="H9" s="103">
        <v>15</v>
      </c>
      <c r="I9" s="103">
        <v>15</v>
      </c>
      <c r="J9" s="104">
        <v>15</v>
      </c>
      <c r="N9"/>
      <c r="Q9"/>
    </row>
    <row r="10" spans="1:17" ht="12.75">
      <c r="A10" s="2" t="s">
        <v>4</v>
      </c>
      <c r="B10" s="22">
        <v>1</v>
      </c>
      <c r="C10" s="22">
        <v>1</v>
      </c>
      <c r="D10" s="22">
        <v>1</v>
      </c>
      <c r="E10" s="22">
        <v>1</v>
      </c>
      <c r="F10" s="22">
        <v>1</v>
      </c>
      <c r="G10" s="22">
        <v>1</v>
      </c>
      <c r="H10" s="22">
        <v>1</v>
      </c>
      <c r="I10" s="22">
        <v>1</v>
      </c>
      <c r="J10" s="32">
        <v>1</v>
      </c>
      <c r="N10"/>
      <c r="Q10"/>
    </row>
    <row r="11" spans="1:18" s="15" customFormat="1" ht="12.75">
      <c r="A11" s="23" t="s">
        <v>5</v>
      </c>
      <c r="B11" s="87">
        <v>1</v>
      </c>
      <c r="C11" s="87">
        <v>1</v>
      </c>
      <c r="D11" s="87">
        <v>1</v>
      </c>
      <c r="E11" s="87">
        <v>1</v>
      </c>
      <c r="F11" s="87">
        <v>1</v>
      </c>
      <c r="G11" s="87">
        <v>1</v>
      </c>
      <c r="H11" s="87">
        <v>1</v>
      </c>
      <c r="I11" s="87">
        <v>1</v>
      </c>
      <c r="J11" s="88">
        <v>1</v>
      </c>
      <c r="K11"/>
      <c r="L11"/>
      <c r="M11"/>
      <c r="N11"/>
      <c r="O11"/>
      <c r="P11"/>
      <c r="Q11"/>
      <c r="R11"/>
    </row>
    <row r="12" spans="1:17" ht="12.75">
      <c r="A12" s="2" t="s">
        <v>4</v>
      </c>
      <c r="B12" s="22">
        <v>1</v>
      </c>
      <c r="C12" s="22">
        <v>1</v>
      </c>
      <c r="D12" s="22">
        <v>1</v>
      </c>
      <c r="E12" s="22">
        <v>1</v>
      </c>
      <c r="F12" s="22">
        <v>1</v>
      </c>
      <c r="G12" s="22">
        <v>1</v>
      </c>
      <c r="H12" s="22">
        <v>1</v>
      </c>
      <c r="I12" s="22">
        <v>1</v>
      </c>
      <c r="J12" s="32">
        <v>1</v>
      </c>
      <c r="N12"/>
      <c r="Q12"/>
    </row>
    <row r="13" spans="1:17" ht="12.75">
      <c r="A13" s="2" t="s">
        <v>6</v>
      </c>
      <c r="B13" s="22">
        <v>7</v>
      </c>
      <c r="C13" s="22">
        <v>7</v>
      </c>
      <c r="D13" s="22">
        <v>7</v>
      </c>
      <c r="E13" s="22">
        <v>7</v>
      </c>
      <c r="F13" s="22">
        <v>7</v>
      </c>
      <c r="G13" s="22">
        <v>7</v>
      </c>
      <c r="H13" s="22">
        <v>7</v>
      </c>
      <c r="I13" s="22">
        <v>7</v>
      </c>
      <c r="J13" s="32">
        <v>7</v>
      </c>
      <c r="N13"/>
      <c r="Q13"/>
    </row>
    <row r="14" spans="1:18" s="6" customFormat="1" ht="13.5" thickBot="1">
      <c r="A14" s="24" t="s">
        <v>40</v>
      </c>
      <c r="B14" s="29">
        <v>3</v>
      </c>
      <c r="C14" s="29">
        <v>3</v>
      </c>
      <c r="D14" s="29">
        <v>3</v>
      </c>
      <c r="E14" s="29">
        <v>3</v>
      </c>
      <c r="F14" s="29">
        <v>3</v>
      </c>
      <c r="G14" s="29">
        <v>3</v>
      </c>
      <c r="H14" s="29">
        <v>3</v>
      </c>
      <c r="I14" s="29">
        <v>3</v>
      </c>
      <c r="J14" s="33">
        <v>3</v>
      </c>
      <c r="K14"/>
      <c r="L14"/>
      <c r="M14"/>
      <c r="N14"/>
      <c r="O14"/>
      <c r="P14"/>
      <c r="Q14"/>
      <c r="R14"/>
    </row>
    <row r="15" spans="1:18" s="1" customFormat="1" ht="12.75">
      <c r="A15" s="89" t="s">
        <v>50</v>
      </c>
      <c r="B15" s="90">
        <f aca="true" t="shared" si="1" ref="B15:J15">SUM(B5:B14)</f>
        <v>47</v>
      </c>
      <c r="C15" s="90">
        <f t="shared" si="1"/>
        <v>55</v>
      </c>
      <c r="D15" s="90">
        <f t="shared" si="1"/>
        <v>63</v>
      </c>
      <c r="E15" s="90">
        <f t="shared" si="1"/>
        <v>71</v>
      </c>
      <c r="F15" s="90">
        <f t="shared" si="1"/>
        <v>79</v>
      </c>
      <c r="G15" s="90">
        <f t="shared" si="1"/>
        <v>87</v>
      </c>
      <c r="H15" s="90">
        <f t="shared" si="1"/>
        <v>95</v>
      </c>
      <c r="I15" s="90">
        <f t="shared" si="1"/>
        <v>103</v>
      </c>
      <c r="J15" s="91">
        <f t="shared" si="1"/>
        <v>111</v>
      </c>
      <c r="K15"/>
      <c r="L15"/>
      <c r="M15"/>
      <c r="N15"/>
      <c r="O15"/>
      <c r="P15"/>
      <c r="Q15"/>
      <c r="R15"/>
    </row>
    <row r="16" spans="1:18" s="1" customFormat="1" ht="12.75">
      <c r="A16" s="89" t="s">
        <v>51</v>
      </c>
      <c r="B16" s="83">
        <f aca="true" t="shared" si="2" ref="B16:J16">INT((B15/8)+0.9)</f>
        <v>6</v>
      </c>
      <c r="C16" s="83">
        <f t="shared" si="2"/>
        <v>7</v>
      </c>
      <c r="D16" s="83">
        <f t="shared" si="2"/>
        <v>8</v>
      </c>
      <c r="E16" s="83">
        <f t="shared" si="2"/>
        <v>9</v>
      </c>
      <c r="F16" s="83">
        <f t="shared" si="2"/>
        <v>10</v>
      </c>
      <c r="G16" s="83">
        <f t="shared" si="2"/>
        <v>11</v>
      </c>
      <c r="H16" s="83">
        <f t="shared" si="2"/>
        <v>12</v>
      </c>
      <c r="I16" s="83">
        <f t="shared" si="2"/>
        <v>13</v>
      </c>
      <c r="J16" s="84">
        <f t="shared" si="2"/>
        <v>14</v>
      </c>
      <c r="K16"/>
      <c r="L16"/>
      <c r="M16"/>
      <c r="N16"/>
      <c r="O16"/>
      <c r="P16"/>
      <c r="Q16"/>
      <c r="R16"/>
    </row>
    <row r="17" spans="1:17" ht="12.75">
      <c r="A17" s="116" t="s">
        <v>65</v>
      </c>
      <c r="B17" s="117">
        <f>INT(SUM(B5:B9)/5)</f>
        <v>6</v>
      </c>
      <c r="C17" s="117">
        <f aca="true" t="shared" si="3" ref="C17:J17">INT(SUM(C5:C9)/5)</f>
        <v>8</v>
      </c>
      <c r="D17" s="117">
        <f t="shared" si="3"/>
        <v>10</v>
      </c>
      <c r="E17" s="117">
        <f>INT(SUM(E5:E9)/5)</f>
        <v>11</v>
      </c>
      <c r="F17" s="117">
        <f t="shared" si="3"/>
        <v>13</v>
      </c>
      <c r="G17" s="117">
        <f t="shared" si="3"/>
        <v>14</v>
      </c>
      <c r="H17" s="117">
        <f t="shared" si="3"/>
        <v>16</v>
      </c>
      <c r="I17" s="117">
        <f t="shared" si="3"/>
        <v>18</v>
      </c>
      <c r="J17" s="118">
        <f t="shared" si="3"/>
        <v>19</v>
      </c>
      <c r="N17"/>
      <c r="Q17"/>
    </row>
    <row r="18" spans="1:17" ht="12.75">
      <c r="A18" s="25" t="s">
        <v>52</v>
      </c>
      <c r="B18" s="26">
        <f>B15+B17</f>
        <v>53</v>
      </c>
      <c r="C18" s="26">
        <f aca="true" t="shared" si="4" ref="C18:J18">C15+C17</f>
        <v>63</v>
      </c>
      <c r="D18" s="26">
        <f t="shared" si="4"/>
        <v>73</v>
      </c>
      <c r="E18" s="26">
        <f t="shared" si="4"/>
        <v>82</v>
      </c>
      <c r="F18" s="26">
        <f t="shared" si="4"/>
        <v>92</v>
      </c>
      <c r="G18" s="26">
        <f t="shared" si="4"/>
        <v>101</v>
      </c>
      <c r="H18" s="26">
        <f t="shared" si="4"/>
        <v>111</v>
      </c>
      <c r="I18" s="26">
        <f t="shared" si="4"/>
        <v>121</v>
      </c>
      <c r="J18" s="34">
        <f t="shared" si="4"/>
        <v>130</v>
      </c>
      <c r="N18"/>
      <c r="Q18"/>
    </row>
    <row r="19" spans="1:17" ht="13.5" thickBot="1">
      <c r="A19" s="92" t="s">
        <v>53</v>
      </c>
      <c r="B19" s="85">
        <f aca="true" t="shared" si="5" ref="B19:J19">INT((B18/8)+0.9)</f>
        <v>7</v>
      </c>
      <c r="C19" s="85">
        <f t="shared" si="5"/>
        <v>8</v>
      </c>
      <c r="D19" s="85">
        <f t="shared" si="5"/>
        <v>10</v>
      </c>
      <c r="E19" s="85">
        <f t="shared" si="5"/>
        <v>11</v>
      </c>
      <c r="F19" s="85">
        <f t="shared" si="5"/>
        <v>12</v>
      </c>
      <c r="G19" s="85">
        <f t="shared" si="5"/>
        <v>13</v>
      </c>
      <c r="H19" s="85">
        <f t="shared" si="5"/>
        <v>14</v>
      </c>
      <c r="I19" s="85">
        <f t="shared" si="5"/>
        <v>16</v>
      </c>
      <c r="J19" s="86">
        <f t="shared" si="5"/>
        <v>17</v>
      </c>
      <c r="N19"/>
      <c r="Q19"/>
    </row>
    <row r="20" spans="1:17" ht="12.75">
      <c r="A20" s="2" t="s">
        <v>7</v>
      </c>
      <c r="B20" s="30">
        <f aca="true" t="shared" si="6" ref="B20:J20">INT(CANbusBaud/B18)</f>
        <v>15094</v>
      </c>
      <c r="C20" s="30">
        <f t="shared" si="6"/>
        <v>12698</v>
      </c>
      <c r="D20" s="30">
        <f t="shared" si="6"/>
        <v>10958</v>
      </c>
      <c r="E20" s="30">
        <f t="shared" si="6"/>
        <v>9756</v>
      </c>
      <c r="F20" s="30">
        <f t="shared" si="6"/>
        <v>8695</v>
      </c>
      <c r="G20" s="30">
        <f t="shared" si="6"/>
        <v>7920</v>
      </c>
      <c r="H20" s="30">
        <f t="shared" si="6"/>
        <v>7207</v>
      </c>
      <c r="I20" s="30">
        <f t="shared" si="6"/>
        <v>6611</v>
      </c>
      <c r="J20" s="35">
        <f t="shared" si="6"/>
        <v>6153</v>
      </c>
      <c r="N20"/>
      <c r="Q20"/>
    </row>
    <row r="21" spans="1:17" ht="13.5" thickBot="1">
      <c r="A21" s="28" t="s">
        <v>8</v>
      </c>
      <c r="B21" s="31">
        <f>INT(B20/50)</f>
        <v>301</v>
      </c>
      <c r="C21" s="31">
        <f aca="true" t="shared" si="7" ref="C21:J21">INT(C20/50)</f>
        <v>253</v>
      </c>
      <c r="D21" s="31">
        <f t="shared" si="7"/>
        <v>219</v>
      </c>
      <c r="E21" s="31">
        <f t="shared" si="7"/>
        <v>195</v>
      </c>
      <c r="F21" s="31">
        <f t="shared" si="7"/>
        <v>173</v>
      </c>
      <c r="G21" s="31">
        <f t="shared" si="7"/>
        <v>158</v>
      </c>
      <c r="H21" s="31">
        <f t="shared" si="7"/>
        <v>144</v>
      </c>
      <c r="I21" s="31">
        <f t="shared" si="7"/>
        <v>132</v>
      </c>
      <c r="J21" s="36">
        <f t="shared" si="7"/>
        <v>123</v>
      </c>
      <c r="N21"/>
      <c r="Q21"/>
    </row>
    <row r="22" spans="1:17" ht="12.75">
      <c r="A22" s="2"/>
      <c r="B22" s="27"/>
      <c r="C22" s="27"/>
      <c r="D22" s="27"/>
      <c r="E22" s="27"/>
      <c r="F22" s="27"/>
      <c r="G22" s="27"/>
      <c r="H22" s="27"/>
      <c r="I22" s="27"/>
      <c r="J22" s="27"/>
      <c r="N22"/>
      <c r="Q22"/>
    </row>
    <row r="23" spans="2:14" s="3" customFormat="1" ht="51.75" thickBot="1">
      <c r="B23" s="17" t="s">
        <v>21</v>
      </c>
      <c r="C23" s="17" t="s">
        <v>31</v>
      </c>
      <c r="D23" s="17" t="s">
        <v>32</v>
      </c>
      <c r="E23" s="17" t="s">
        <v>33</v>
      </c>
      <c r="F23" s="18" t="s">
        <v>35</v>
      </c>
      <c r="G23" s="19" t="s">
        <v>34</v>
      </c>
      <c r="H23" s="18" t="s">
        <v>36</v>
      </c>
      <c r="I23"/>
      <c r="K23" s="4"/>
      <c r="N23" s="4"/>
    </row>
    <row r="24" spans="1:17" ht="12.75">
      <c r="A24" s="21" t="s">
        <v>9</v>
      </c>
      <c r="B24" s="37">
        <f>Max2BytePktBits</f>
        <v>73</v>
      </c>
      <c r="C24" s="38">
        <f aca="true" t="shared" si="8" ref="C24:D26">Max8BytePktBits</f>
        <v>130</v>
      </c>
      <c r="D24" s="38">
        <f t="shared" si="8"/>
        <v>130</v>
      </c>
      <c r="E24" s="38">
        <v>0</v>
      </c>
      <c r="F24" s="108">
        <f>SUM(B24:E24)</f>
        <v>333</v>
      </c>
      <c r="G24" s="109">
        <f>INT(CANbusBaud/F24)</f>
        <v>2402</v>
      </c>
      <c r="H24" s="110">
        <f>INT(G24/IHUpollRate)</f>
        <v>48</v>
      </c>
      <c r="J24" s="5"/>
      <c r="K24" s="5"/>
      <c r="N24"/>
      <c r="Q24"/>
    </row>
    <row r="25" spans="1:17" ht="12.75">
      <c r="A25" s="21" t="s">
        <v>10</v>
      </c>
      <c r="B25" s="39">
        <f>Max8BytePktBits</f>
        <v>130</v>
      </c>
      <c r="C25" s="6">
        <f t="shared" si="8"/>
        <v>130</v>
      </c>
      <c r="D25" s="6">
        <f t="shared" si="8"/>
        <v>130</v>
      </c>
      <c r="E25" s="6">
        <f>Max8BytePktBits</f>
        <v>130</v>
      </c>
      <c r="F25" s="53">
        <f>SUM(B25:E25)</f>
        <v>520</v>
      </c>
      <c r="G25" s="111">
        <f>INT(CANbusBaud/F25)</f>
        <v>1538</v>
      </c>
      <c r="H25" s="112">
        <f>INT(G25/IHUpollRate)</f>
        <v>30</v>
      </c>
      <c r="J25" s="5"/>
      <c r="K25" s="5"/>
      <c r="N25"/>
      <c r="Q25"/>
    </row>
    <row r="26" spans="1:17" ht="13.5" thickBot="1">
      <c r="A26" s="21" t="s">
        <v>11</v>
      </c>
      <c r="B26" s="40">
        <f>Max2BytePktBits</f>
        <v>73</v>
      </c>
      <c r="C26" s="41">
        <f t="shared" si="8"/>
        <v>130</v>
      </c>
      <c r="D26" s="41">
        <f t="shared" si="8"/>
        <v>130</v>
      </c>
      <c r="E26" s="41">
        <v>0</v>
      </c>
      <c r="F26" s="113">
        <f>SUM(B26:E26)</f>
        <v>333</v>
      </c>
      <c r="G26" s="114">
        <f>INT(CANbusBaud/F26)</f>
        <v>2402</v>
      </c>
      <c r="H26" s="115">
        <f>INT(G26/IHUpollRate)</f>
        <v>48</v>
      </c>
      <c r="J26" s="5"/>
      <c r="K26" s="5"/>
      <c r="N26"/>
      <c r="Q26"/>
    </row>
    <row r="27" spans="13:17" ht="12.75">
      <c r="M27" s="5"/>
      <c r="N27"/>
      <c r="P27" s="5"/>
      <c r="Q27"/>
    </row>
    <row r="28" spans="13:17" ht="12.75">
      <c r="M28" s="5"/>
      <c r="N28"/>
      <c r="P28" s="5"/>
      <c r="Q28"/>
    </row>
    <row r="30" spans="1:10" ht="12.75">
      <c r="A30"/>
      <c r="B30" s="132" t="s">
        <v>9</v>
      </c>
      <c r="C30" s="133"/>
      <c r="D30" s="132" t="s">
        <v>14</v>
      </c>
      <c r="E30" s="133"/>
      <c r="F30" s="134" t="s">
        <v>10</v>
      </c>
      <c r="G30" s="135"/>
      <c r="H30" s="136" t="s">
        <v>15</v>
      </c>
      <c r="I30" s="137"/>
      <c r="J30" s="138"/>
    </row>
    <row r="31" spans="1:10" ht="12.75">
      <c r="A31"/>
      <c r="B31" s="50" t="s">
        <v>12</v>
      </c>
      <c r="C31" s="52" t="s">
        <v>13</v>
      </c>
      <c r="D31" s="50" t="s">
        <v>12</v>
      </c>
      <c r="E31" s="52" t="s">
        <v>13</v>
      </c>
      <c r="F31" s="77" t="s">
        <v>12</v>
      </c>
      <c r="G31" s="78" t="s">
        <v>13</v>
      </c>
      <c r="H31" s="50" t="s">
        <v>16</v>
      </c>
      <c r="I31" s="51" t="s">
        <v>17</v>
      </c>
      <c r="J31" s="52" t="s">
        <v>18</v>
      </c>
    </row>
    <row r="32" spans="1:10" ht="12.75">
      <c r="A32">
        <f>1</f>
        <v>1</v>
      </c>
      <c r="B32" s="10">
        <f aca="true" t="shared" si="9" ref="B32:B79">(StdConfig*A32*IHUpollRate)/CANbusBaud</f>
        <v>0.0208125</v>
      </c>
      <c r="C32" s="44">
        <f aca="true" t="shared" si="10" ref="C32:C79">1-B32</f>
        <v>0.9791875</v>
      </c>
      <c r="D32" s="10">
        <f>(PipeConfig*A32*IHUpollRate)/CANbusBaud</f>
        <v>0.0208125</v>
      </c>
      <c r="E32" s="44">
        <f aca="true" t="shared" si="11" ref="E32:E79">1-D32</f>
        <v>0.9791875</v>
      </c>
      <c r="F32" s="79">
        <f aca="true" t="shared" si="12" ref="F32:F60">(MuxConfig*A32*IHUpollRate)/CANbusBaud</f>
        <v>0.0325</v>
      </c>
      <c r="G32" s="80">
        <f>1-F32</f>
        <v>0.9675</v>
      </c>
      <c r="H32" s="10">
        <f>0.02</f>
        <v>0.02</v>
      </c>
      <c r="I32" s="11">
        <f aca="true" t="shared" si="13" ref="I32:I81">INT((H32*CANbusBaud)/Max8BytePktBits)</f>
        <v>123</v>
      </c>
      <c r="J32" s="47">
        <f>I32*8</f>
        <v>984</v>
      </c>
    </row>
    <row r="33" spans="1:10" ht="12.75">
      <c r="A33">
        <f>A32+1</f>
        <v>2</v>
      </c>
      <c r="B33" s="10">
        <f t="shared" si="9"/>
        <v>0.041625</v>
      </c>
      <c r="C33" s="44">
        <f t="shared" si="10"/>
        <v>0.958375</v>
      </c>
      <c r="D33" s="10">
        <f aca="true" t="shared" si="14" ref="D33:D77">(PipeConfig*A33*IHUpollRate)/CANbusBaud</f>
        <v>0.041625</v>
      </c>
      <c r="E33" s="44">
        <f t="shared" si="11"/>
        <v>0.958375</v>
      </c>
      <c r="F33" s="79">
        <f t="shared" si="12"/>
        <v>0.065</v>
      </c>
      <c r="G33" s="80">
        <f aca="true" t="shared" si="15" ref="G33:G61">1-F33</f>
        <v>0.935</v>
      </c>
      <c r="H33" s="10">
        <f>H32+0.02</f>
        <v>0.04</v>
      </c>
      <c r="I33" s="11">
        <f t="shared" si="13"/>
        <v>246</v>
      </c>
      <c r="J33" s="47">
        <f aca="true" t="shared" si="16" ref="J33:J81">I33*8</f>
        <v>1968</v>
      </c>
    </row>
    <row r="34" spans="1:10" ht="12.75">
      <c r="A34">
        <f aca="true" t="shared" si="17" ref="A34:A77">A33+1</f>
        <v>3</v>
      </c>
      <c r="B34" s="10">
        <f t="shared" si="9"/>
        <v>0.0624375</v>
      </c>
      <c r="C34" s="44">
        <f t="shared" si="10"/>
        <v>0.9375625</v>
      </c>
      <c r="D34" s="10">
        <f t="shared" si="14"/>
        <v>0.0624375</v>
      </c>
      <c r="E34" s="44">
        <f t="shared" si="11"/>
        <v>0.9375625</v>
      </c>
      <c r="F34" s="79">
        <f t="shared" si="12"/>
        <v>0.0975</v>
      </c>
      <c r="G34" s="80">
        <f t="shared" si="15"/>
        <v>0.9025</v>
      </c>
      <c r="H34" s="10">
        <f aca="true" t="shared" si="18" ref="H34:H81">H33+0.02</f>
        <v>0.06</v>
      </c>
      <c r="I34" s="11">
        <f t="shared" si="13"/>
        <v>369</v>
      </c>
      <c r="J34" s="47">
        <f t="shared" si="16"/>
        <v>2952</v>
      </c>
    </row>
    <row r="35" spans="1:10" ht="12.75">
      <c r="A35">
        <f t="shared" si="17"/>
        <v>4</v>
      </c>
      <c r="B35" s="10">
        <f t="shared" si="9"/>
        <v>0.08325</v>
      </c>
      <c r="C35" s="44">
        <f t="shared" si="10"/>
        <v>0.91675</v>
      </c>
      <c r="D35" s="10">
        <f t="shared" si="14"/>
        <v>0.08325</v>
      </c>
      <c r="E35" s="44">
        <f t="shared" si="11"/>
        <v>0.91675</v>
      </c>
      <c r="F35" s="79">
        <f t="shared" si="12"/>
        <v>0.13</v>
      </c>
      <c r="G35" s="80">
        <f t="shared" si="15"/>
        <v>0.87</v>
      </c>
      <c r="H35" s="10">
        <f t="shared" si="18"/>
        <v>0.08</v>
      </c>
      <c r="I35" s="11">
        <f t="shared" si="13"/>
        <v>492</v>
      </c>
      <c r="J35" s="47">
        <f t="shared" si="16"/>
        <v>3936</v>
      </c>
    </row>
    <row r="36" spans="1:10" ht="12.75">
      <c r="A36">
        <f t="shared" si="17"/>
        <v>5</v>
      </c>
      <c r="B36" s="10">
        <f t="shared" si="9"/>
        <v>0.1040625</v>
      </c>
      <c r="C36" s="44">
        <f t="shared" si="10"/>
        <v>0.8959375</v>
      </c>
      <c r="D36" s="10">
        <f t="shared" si="14"/>
        <v>0.1040625</v>
      </c>
      <c r="E36" s="44">
        <f t="shared" si="11"/>
        <v>0.8959375</v>
      </c>
      <c r="F36" s="79">
        <f t="shared" si="12"/>
        <v>0.1625</v>
      </c>
      <c r="G36" s="80">
        <f t="shared" si="15"/>
        <v>0.8375</v>
      </c>
      <c r="H36" s="10">
        <f t="shared" si="18"/>
        <v>0.1</v>
      </c>
      <c r="I36" s="11">
        <f t="shared" si="13"/>
        <v>615</v>
      </c>
      <c r="J36" s="47">
        <f t="shared" si="16"/>
        <v>4920</v>
      </c>
    </row>
    <row r="37" spans="1:10" ht="12.75">
      <c r="A37">
        <f t="shared" si="17"/>
        <v>6</v>
      </c>
      <c r="B37" s="10">
        <f t="shared" si="9"/>
        <v>0.124875</v>
      </c>
      <c r="C37" s="44">
        <f t="shared" si="10"/>
        <v>0.875125</v>
      </c>
      <c r="D37" s="10">
        <f t="shared" si="14"/>
        <v>0.124875</v>
      </c>
      <c r="E37" s="44">
        <f t="shared" si="11"/>
        <v>0.875125</v>
      </c>
      <c r="F37" s="79">
        <f t="shared" si="12"/>
        <v>0.195</v>
      </c>
      <c r="G37" s="80">
        <f t="shared" si="15"/>
        <v>0.8049999999999999</v>
      </c>
      <c r="H37" s="10">
        <f t="shared" si="18"/>
        <v>0.12000000000000001</v>
      </c>
      <c r="I37" s="11">
        <f t="shared" si="13"/>
        <v>738</v>
      </c>
      <c r="J37" s="47">
        <f t="shared" si="16"/>
        <v>5904</v>
      </c>
    </row>
    <row r="38" spans="1:10" ht="12.75">
      <c r="A38">
        <f t="shared" si="17"/>
        <v>7</v>
      </c>
      <c r="B38" s="10">
        <f t="shared" si="9"/>
        <v>0.1456875</v>
      </c>
      <c r="C38" s="44">
        <f t="shared" si="10"/>
        <v>0.8543125</v>
      </c>
      <c r="D38" s="10">
        <f t="shared" si="14"/>
        <v>0.1456875</v>
      </c>
      <c r="E38" s="44">
        <f t="shared" si="11"/>
        <v>0.8543125</v>
      </c>
      <c r="F38" s="79">
        <f t="shared" si="12"/>
        <v>0.2275</v>
      </c>
      <c r="G38" s="80">
        <f t="shared" si="15"/>
        <v>0.7725</v>
      </c>
      <c r="H38" s="10">
        <f t="shared" si="18"/>
        <v>0.14</v>
      </c>
      <c r="I38" s="11">
        <f t="shared" si="13"/>
        <v>861</v>
      </c>
      <c r="J38" s="47">
        <f t="shared" si="16"/>
        <v>6888</v>
      </c>
    </row>
    <row r="39" spans="1:10" ht="12.75">
      <c r="A39">
        <f t="shared" si="17"/>
        <v>8</v>
      </c>
      <c r="B39" s="10">
        <f t="shared" si="9"/>
        <v>0.1665</v>
      </c>
      <c r="C39" s="44">
        <f t="shared" si="10"/>
        <v>0.8335</v>
      </c>
      <c r="D39" s="10">
        <f t="shared" si="14"/>
        <v>0.1665</v>
      </c>
      <c r="E39" s="44">
        <f t="shared" si="11"/>
        <v>0.8335</v>
      </c>
      <c r="F39" s="79">
        <f t="shared" si="12"/>
        <v>0.26</v>
      </c>
      <c r="G39" s="80">
        <f t="shared" si="15"/>
        <v>0.74</v>
      </c>
      <c r="H39" s="10">
        <f t="shared" si="18"/>
        <v>0.16</v>
      </c>
      <c r="I39" s="11">
        <f t="shared" si="13"/>
        <v>984</v>
      </c>
      <c r="J39" s="47">
        <f t="shared" si="16"/>
        <v>7872</v>
      </c>
    </row>
    <row r="40" spans="1:10" ht="12.75">
      <c r="A40">
        <f t="shared" si="17"/>
        <v>9</v>
      </c>
      <c r="B40" s="10">
        <f t="shared" si="9"/>
        <v>0.1873125</v>
      </c>
      <c r="C40" s="44">
        <f t="shared" si="10"/>
        <v>0.8126875</v>
      </c>
      <c r="D40" s="10">
        <f t="shared" si="14"/>
        <v>0.1873125</v>
      </c>
      <c r="E40" s="44">
        <f t="shared" si="11"/>
        <v>0.8126875</v>
      </c>
      <c r="F40" s="79">
        <f t="shared" si="12"/>
        <v>0.2925</v>
      </c>
      <c r="G40" s="80">
        <f t="shared" si="15"/>
        <v>0.7075</v>
      </c>
      <c r="H40" s="10">
        <f t="shared" si="18"/>
        <v>0.18</v>
      </c>
      <c r="I40" s="11">
        <f t="shared" si="13"/>
        <v>1107</v>
      </c>
      <c r="J40" s="47">
        <f t="shared" si="16"/>
        <v>8856</v>
      </c>
    </row>
    <row r="41" spans="1:10" ht="12.75">
      <c r="A41">
        <f t="shared" si="17"/>
        <v>10</v>
      </c>
      <c r="B41" s="10">
        <f t="shared" si="9"/>
        <v>0.208125</v>
      </c>
      <c r="C41" s="44">
        <f t="shared" si="10"/>
        <v>0.791875</v>
      </c>
      <c r="D41" s="10">
        <f t="shared" si="14"/>
        <v>0.208125</v>
      </c>
      <c r="E41" s="44">
        <f t="shared" si="11"/>
        <v>0.791875</v>
      </c>
      <c r="F41" s="79">
        <f t="shared" si="12"/>
        <v>0.325</v>
      </c>
      <c r="G41" s="80">
        <f t="shared" si="15"/>
        <v>0.675</v>
      </c>
      <c r="H41" s="10">
        <f t="shared" si="18"/>
        <v>0.19999999999999998</v>
      </c>
      <c r="I41" s="11">
        <f t="shared" si="13"/>
        <v>1230</v>
      </c>
      <c r="J41" s="47">
        <f t="shared" si="16"/>
        <v>9840</v>
      </c>
    </row>
    <row r="42" spans="1:10" ht="12.75">
      <c r="A42">
        <f t="shared" si="17"/>
        <v>11</v>
      </c>
      <c r="B42" s="10">
        <f t="shared" si="9"/>
        <v>0.2289375</v>
      </c>
      <c r="C42" s="44">
        <f t="shared" si="10"/>
        <v>0.7710625</v>
      </c>
      <c r="D42" s="10">
        <f t="shared" si="14"/>
        <v>0.2289375</v>
      </c>
      <c r="E42" s="44">
        <f t="shared" si="11"/>
        <v>0.7710625</v>
      </c>
      <c r="F42" s="79">
        <f t="shared" si="12"/>
        <v>0.3575</v>
      </c>
      <c r="G42" s="80">
        <f t="shared" si="15"/>
        <v>0.6425000000000001</v>
      </c>
      <c r="H42" s="10">
        <f t="shared" si="18"/>
        <v>0.21999999999999997</v>
      </c>
      <c r="I42" s="11">
        <f t="shared" si="13"/>
        <v>1353</v>
      </c>
      <c r="J42" s="47">
        <f t="shared" si="16"/>
        <v>10824</v>
      </c>
    </row>
    <row r="43" spans="1:10" ht="12.75">
      <c r="A43">
        <f t="shared" si="17"/>
        <v>12</v>
      </c>
      <c r="B43" s="10">
        <f t="shared" si="9"/>
        <v>0.24975</v>
      </c>
      <c r="C43" s="44">
        <f t="shared" si="10"/>
        <v>0.75025</v>
      </c>
      <c r="D43" s="10">
        <f t="shared" si="14"/>
        <v>0.24975</v>
      </c>
      <c r="E43" s="44">
        <f t="shared" si="11"/>
        <v>0.75025</v>
      </c>
      <c r="F43" s="79">
        <f t="shared" si="12"/>
        <v>0.39</v>
      </c>
      <c r="G43" s="80">
        <f t="shared" si="15"/>
        <v>0.61</v>
      </c>
      <c r="H43" s="10">
        <f t="shared" si="18"/>
        <v>0.23999999999999996</v>
      </c>
      <c r="I43" s="11">
        <f t="shared" si="13"/>
        <v>1476</v>
      </c>
      <c r="J43" s="47">
        <f t="shared" si="16"/>
        <v>11808</v>
      </c>
    </row>
    <row r="44" spans="1:10" ht="12.75">
      <c r="A44">
        <f t="shared" si="17"/>
        <v>13</v>
      </c>
      <c r="B44" s="10">
        <f t="shared" si="9"/>
        <v>0.2705625</v>
      </c>
      <c r="C44" s="44">
        <f t="shared" si="10"/>
        <v>0.7294375</v>
      </c>
      <c r="D44" s="10">
        <f t="shared" si="14"/>
        <v>0.2705625</v>
      </c>
      <c r="E44" s="44">
        <f t="shared" si="11"/>
        <v>0.7294375</v>
      </c>
      <c r="F44" s="79">
        <f t="shared" si="12"/>
        <v>0.4225</v>
      </c>
      <c r="G44" s="80">
        <f t="shared" si="15"/>
        <v>0.5775</v>
      </c>
      <c r="H44" s="10">
        <f t="shared" si="18"/>
        <v>0.25999999999999995</v>
      </c>
      <c r="I44" s="11">
        <f t="shared" si="13"/>
        <v>1600</v>
      </c>
      <c r="J44" s="47">
        <f t="shared" si="16"/>
        <v>12800</v>
      </c>
    </row>
    <row r="45" spans="1:10" ht="12.75">
      <c r="A45">
        <f t="shared" si="17"/>
        <v>14</v>
      </c>
      <c r="B45" s="10">
        <f t="shared" si="9"/>
        <v>0.291375</v>
      </c>
      <c r="C45" s="44">
        <f t="shared" si="10"/>
        <v>0.7086250000000001</v>
      </c>
      <c r="D45" s="10">
        <f t="shared" si="14"/>
        <v>0.291375</v>
      </c>
      <c r="E45" s="44">
        <f t="shared" si="11"/>
        <v>0.7086250000000001</v>
      </c>
      <c r="F45" s="79">
        <f t="shared" si="12"/>
        <v>0.455</v>
      </c>
      <c r="G45" s="80">
        <f t="shared" si="15"/>
        <v>0.5449999999999999</v>
      </c>
      <c r="H45" s="10">
        <f t="shared" si="18"/>
        <v>0.27999999999999997</v>
      </c>
      <c r="I45" s="11">
        <f t="shared" si="13"/>
        <v>1723</v>
      </c>
      <c r="J45" s="47">
        <f t="shared" si="16"/>
        <v>13784</v>
      </c>
    </row>
    <row r="46" spans="1:10" ht="12.75">
      <c r="A46">
        <f t="shared" si="17"/>
        <v>15</v>
      </c>
      <c r="B46" s="10">
        <f t="shared" si="9"/>
        <v>0.3121875</v>
      </c>
      <c r="C46" s="44">
        <f t="shared" si="10"/>
        <v>0.6878124999999999</v>
      </c>
      <c r="D46" s="10">
        <f t="shared" si="14"/>
        <v>0.3121875</v>
      </c>
      <c r="E46" s="44">
        <f t="shared" si="11"/>
        <v>0.6878124999999999</v>
      </c>
      <c r="F46" s="79">
        <f t="shared" si="12"/>
        <v>0.4875</v>
      </c>
      <c r="G46" s="80">
        <f t="shared" si="15"/>
        <v>0.5125</v>
      </c>
      <c r="H46" s="10">
        <f t="shared" si="18"/>
        <v>0.3</v>
      </c>
      <c r="I46" s="11">
        <f t="shared" si="13"/>
        <v>1846</v>
      </c>
      <c r="J46" s="47">
        <f t="shared" si="16"/>
        <v>14768</v>
      </c>
    </row>
    <row r="47" spans="1:10" ht="12.75">
      <c r="A47">
        <f t="shared" si="17"/>
        <v>16</v>
      </c>
      <c r="B47" s="10">
        <f t="shared" si="9"/>
        <v>0.333</v>
      </c>
      <c r="C47" s="44">
        <f t="shared" si="10"/>
        <v>0.667</v>
      </c>
      <c r="D47" s="10">
        <f t="shared" si="14"/>
        <v>0.333</v>
      </c>
      <c r="E47" s="44">
        <f t="shared" si="11"/>
        <v>0.667</v>
      </c>
      <c r="F47" s="79">
        <f t="shared" si="12"/>
        <v>0.52</v>
      </c>
      <c r="G47" s="80">
        <f t="shared" si="15"/>
        <v>0.48</v>
      </c>
      <c r="H47" s="10">
        <f t="shared" si="18"/>
        <v>0.32</v>
      </c>
      <c r="I47" s="11">
        <f t="shared" si="13"/>
        <v>1969</v>
      </c>
      <c r="J47" s="47">
        <f t="shared" si="16"/>
        <v>15752</v>
      </c>
    </row>
    <row r="48" spans="1:10" ht="12.75">
      <c r="A48">
        <f t="shared" si="17"/>
        <v>17</v>
      </c>
      <c r="B48" s="10">
        <f t="shared" si="9"/>
        <v>0.3538125</v>
      </c>
      <c r="C48" s="44">
        <f t="shared" si="10"/>
        <v>0.6461875</v>
      </c>
      <c r="D48" s="10">
        <f t="shared" si="14"/>
        <v>0.3538125</v>
      </c>
      <c r="E48" s="44">
        <f t="shared" si="11"/>
        <v>0.6461875</v>
      </c>
      <c r="F48" s="79">
        <f t="shared" si="12"/>
        <v>0.5525</v>
      </c>
      <c r="G48" s="80">
        <f t="shared" si="15"/>
        <v>0.4475</v>
      </c>
      <c r="H48" s="10">
        <f t="shared" si="18"/>
        <v>0.34</v>
      </c>
      <c r="I48" s="11">
        <f t="shared" si="13"/>
        <v>2092</v>
      </c>
      <c r="J48" s="47">
        <f t="shared" si="16"/>
        <v>16736</v>
      </c>
    </row>
    <row r="49" spans="1:10" ht="12.75">
      <c r="A49">
        <f t="shared" si="17"/>
        <v>18</v>
      </c>
      <c r="B49" s="10">
        <f t="shared" si="9"/>
        <v>0.374625</v>
      </c>
      <c r="C49" s="44">
        <f t="shared" si="10"/>
        <v>0.625375</v>
      </c>
      <c r="D49" s="10">
        <f t="shared" si="14"/>
        <v>0.374625</v>
      </c>
      <c r="E49" s="44">
        <f t="shared" si="11"/>
        <v>0.625375</v>
      </c>
      <c r="F49" s="79">
        <f t="shared" si="12"/>
        <v>0.585</v>
      </c>
      <c r="G49" s="80">
        <f t="shared" si="15"/>
        <v>0.41500000000000004</v>
      </c>
      <c r="H49" s="10">
        <f t="shared" si="18"/>
        <v>0.36000000000000004</v>
      </c>
      <c r="I49" s="11">
        <f t="shared" si="13"/>
        <v>2215</v>
      </c>
      <c r="J49" s="47">
        <f t="shared" si="16"/>
        <v>17720</v>
      </c>
    </row>
    <row r="50" spans="1:10" ht="12.75">
      <c r="A50">
        <f t="shared" si="17"/>
        <v>19</v>
      </c>
      <c r="B50" s="10">
        <f t="shared" si="9"/>
        <v>0.3954375</v>
      </c>
      <c r="C50" s="44">
        <f t="shared" si="10"/>
        <v>0.6045625</v>
      </c>
      <c r="D50" s="10">
        <f t="shared" si="14"/>
        <v>0.3954375</v>
      </c>
      <c r="E50" s="44">
        <f t="shared" si="11"/>
        <v>0.6045625</v>
      </c>
      <c r="F50" s="79">
        <f t="shared" si="12"/>
        <v>0.6175</v>
      </c>
      <c r="G50" s="80">
        <f t="shared" si="15"/>
        <v>0.38249999999999995</v>
      </c>
      <c r="H50" s="10">
        <f t="shared" si="18"/>
        <v>0.38000000000000006</v>
      </c>
      <c r="I50" s="11">
        <f t="shared" si="13"/>
        <v>2338</v>
      </c>
      <c r="J50" s="47">
        <f t="shared" si="16"/>
        <v>18704</v>
      </c>
    </row>
    <row r="51" spans="1:10" ht="12.75">
      <c r="A51">
        <f t="shared" si="17"/>
        <v>20</v>
      </c>
      <c r="B51" s="10">
        <f t="shared" si="9"/>
        <v>0.41625</v>
      </c>
      <c r="C51" s="44">
        <f t="shared" si="10"/>
        <v>0.58375</v>
      </c>
      <c r="D51" s="10">
        <f t="shared" si="14"/>
        <v>0.41625</v>
      </c>
      <c r="E51" s="44">
        <f t="shared" si="11"/>
        <v>0.58375</v>
      </c>
      <c r="F51" s="79">
        <f t="shared" si="12"/>
        <v>0.65</v>
      </c>
      <c r="G51" s="80">
        <f t="shared" si="15"/>
        <v>0.35</v>
      </c>
      <c r="H51" s="10">
        <f t="shared" si="18"/>
        <v>0.4000000000000001</v>
      </c>
      <c r="I51" s="11">
        <f t="shared" si="13"/>
        <v>2461</v>
      </c>
      <c r="J51" s="47">
        <f t="shared" si="16"/>
        <v>19688</v>
      </c>
    </row>
    <row r="52" spans="1:10" ht="12.75">
      <c r="A52">
        <f t="shared" si="17"/>
        <v>21</v>
      </c>
      <c r="B52" s="10">
        <f t="shared" si="9"/>
        <v>0.4370625</v>
      </c>
      <c r="C52" s="44">
        <f t="shared" si="10"/>
        <v>0.5629375</v>
      </c>
      <c r="D52" s="10">
        <f t="shared" si="14"/>
        <v>0.4370625</v>
      </c>
      <c r="E52" s="44">
        <f t="shared" si="11"/>
        <v>0.5629375</v>
      </c>
      <c r="F52" s="79">
        <f t="shared" si="12"/>
        <v>0.6825</v>
      </c>
      <c r="G52" s="80">
        <f t="shared" si="15"/>
        <v>0.3175</v>
      </c>
      <c r="H52" s="10">
        <f t="shared" si="18"/>
        <v>0.4200000000000001</v>
      </c>
      <c r="I52" s="11">
        <f t="shared" si="13"/>
        <v>2584</v>
      </c>
      <c r="J52" s="47">
        <f t="shared" si="16"/>
        <v>20672</v>
      </c>
    </row>
    <row r="53" spans="1:10" ht="12.75">
      <c r="A53">
        <f t="shared" si="17"/>
        <v>22</v>
      </c>
      <c r="B53" s="10">
        <f t="shared" si="9"/>
        <v>0.457875</v>
      </c>
      <c r="C53" s="44">
        <f t="shared" si="10"/>
        <v>0.542125</v>
      </c>
      <c r="D53" s="10">
        <f t="shared" si="14"/>
        <v>0.457875</v>
      </c>
      <c r="E53" s="44">
        <f t="shared" si="11"/>
        <v>0.542125</v>
      </c>
      <c r="F53" s="79">
        <f t="shared" si="12"/>
        <v>0.715</v>
      </c>
      <c r="G53" s="80">
        <f t="shared" si="15"/>
        <v>0.28500000000000003</v>
      </c>
      <c r="H53" s="10">
        <f t="shared" si="18"/>
        <v>0.4400000000000001</v>
      </c>
      <c r="I53" s="11">
        <f t="shared" si="13"/>
        <v>2707</v>
      </c>
      <c r="J53" s="47">
        <f t="shared" si="16"/>
        <v>21656</v>
      </c>
    </row>
    <row r="54" spans="1:10" ht="12.75">
      <c r="A54">
        <f t="shared" si="17"/>
        <v>23</v>
      </c>
      <c r="B54" s="10">
        <f t="shared" si="9"/>
        <v>0.4786875</v>
      </c>
      <c r="C54" s="44">
        <f t="shared" si="10"/>
        <v>0.5213125000000001</v>
      </c>
      <c r="D54" s="10">
        <f t="shared" si="14"/>
        <v>0.4786875</v>
      </c>
      <c r="E54" s="44">
        <f t="shared" si="11"/>
        <v>0.5213125000000001</v>
      </c>
      <c r="F54" s="79">
        <f t="shared" si="12"/>
        <v>0.7475</v>
      </c>
      <c r="G54" s="80">
        <f t="shared" si="15"/>
        <v>0.25249999999999995</v>
      </c>
      <c r="H54" s="10">
        <f t="shared" si="18"/>
        <v>0.46000000000000013</v>
      </c>
      <c r="I54" s="11">
        <f t="shared" si="13"/>
        <v>2830</v>
      </c>
      <c r="J54" s="47">
        <f t="shared" si="16"/>
        <v>22640</v>
      </c>
    </row>
    <row r="55" spans="1:10" ht="12.75">
      <c r="A55">
        <f t="shared" si="17"/>
        <v>24</v>
      </c>
      <c r="B55" s="10">
        <f t="shared" si="9"/>
        <v>0.4995</v>
      </c>
      <c r="C55" s="44">
        <f t="shared" si="10"/>
        <v>0.5005</v>
      </c>
      <c r="D55" s="10">
        <f t="shared" si="14"/>
        <v>0.4995</v>
      </c>
      <c r="E55" s="44">
        <f t="shared" si="11"/>
        <v>0.5005</v>
      </c>
      <c r="F55" s="79">
        <f t="shared" si="12"/>
        <v>0.78</v>
      </c>
      <c r="G55" s="80">
        <f t="shared" si="15"/>
        <v>0.21999999999999997</v>
      </c>
      <c r="H55" s="10">
        <f t="shared" si="18"/>
        <v>0.48000000000000015</v>
      </c>
      <c r="I55" s="11">
        <f t="shared" si="13"/>
        <v>2953</v>
      </c>
      <c r="J55" s="47">
        <f t="shared" si="16"/>
        <v>23624</v>
      </c>
    </row>
    <row r="56" spans="1:10" ht="12.75">
      <c r="A56">
        <f t="shared" si="17"/>
        <v>25</v>
      </c>
      <c r="B56" s="10">
        <f t="shared" si="9"/>
        <v>0.5203125</v>
      </c>
      <c r="C56" s="44">
        <f t="shared" si="10"/>
        <v>0.47968750000000004</v>
      </c>
      <c r="D56" s="10">
        <f t="shared" si="14"/>
        <v>0.5203125</v>
      </c>
      <c r="E56" s="44">
        <f t="shared" si="11"/>
        <v>0.47968750000000004</v>
      </c>
      <c r="F56" s="79">
        <f t="shared" si="12"/>
        <v>0.8125</v>
      </c>
      <c r="G56" s="80">
        <f t="shared" si="15"/>
        <v>0.1875</v>
      </c>
      <c r="H56" s="10">
        <f t="shared" si="18"/>
        <v>0.5000000000000001</v>
      </c>
      <c r="I56" s="11">
        <f t="shared" si="13"/>
        <v>3076</v>
      </c>
      <c r="J56" s="47">
        <f t="shared" si="16"/>
        <v>24608</v>
      </c>
    </row>
    <row r="57" spans="1:10" ht="12.75">
      <c r="A57">
        <f t="shared" si="17"/>
        <v>26</v>
      </c>
      <c r="B57" s="10">
        <f t="shared" si="9"/>
        <v>0.541125</v>
      </c>
      <c r="C57" s="44">
        <f t="shared" si="10"/>
        <v>0.45887500000000003</v>
      </c>
      <c r="D57" s="10">
        <f t="shared" si="14"/>
        <v>0.541125</v>
      </c>
      <c r="E57" s="44">
        <f t="shared" si="11"/>
        <v>0.45887500000000003</v>
      </c>
      <c r="F57" s="79">
        <f t="shared" si="12"/>
        <v>0.845</v>
      </c>
      <c r="G57" s="80">
        <f t="shared" si="15"/>
        <v>0.15500000000000003</v>
      </c>
      <c r="H57" s="10">
        <f t="shared" si="18"/>
        <v>0.5200000000000001</v>
      </c>
      <c r="I57" s="11">
        <f t="shared" si="13"/>
        <v>3200</v>
      </c>
      <c r="J57" s="47">
        <f t="shared" si="16"/>
        <v>25600</v>
      </c>
    </row>
    <row r="58" spans="1:10" ht="12.75">
      <c r="A58">
        <f t="shared" si="17"/>
        <v>27</v>
      </c>
      <c r="B58" s="10">
        <f t="shared" si="9"/>
        <v>0.5619375</v>
      </c>
      <c r="C58" s="44">
        <f t="shared" si="10"/>
        <v>0.4380625</v>
      </c>
      <c r="D58" s="10">
        <f t="shared" si="14"/>
        <v>0.5619375</v>
      </c>
      <c r="E58" s="44">
        <f t="shared" si="11"/>
        <v>0.4380625</v>
      </c>
      <c r="F58" s="79">
        <f t="shared" si="12"/>
        <v>0.8775</v>
      </c>
      <c r="G58" s="80">
        <f t="shared" si="15"/>
        <v>0.12250000000000005</v>
      </c>
      <c r="H58" s="10">
        <f t="shared" si="18"/>
        <v>0.5400000000000001</v>
      </c>
      <c r="I58" s="11">
        <f t="shared" si="13"/>
        <v>3323</v>
      </c>
      <c r="J58" s="47">
        <f t="shared" si="16"/>
        <v>26584</v>
      </c>
    </row>
    <row r="59" spans="1:10" ht="12.75">
      <c r="A59">
        <f t="shared" si="17"/>
        <v>28</v>
      </c>
      <c r="B59" s="10">
        <f t="shared" si="9"/>
        <v>0.58275</v>
      </c>
      <c r="C59" s="44">
        <f t="shared" si="10"/>
        <v>0.41725</v>
      </c>
      <c r="D59" s="10">
        <f t="shared" si="14"/>
        <v>0.58275</v>
      </c>
      <c r="E59" s="44">
        <f t="shared" si="11"/>
        <v>0.41725</v>
      </c>
      <c r="F59" s="79">
        <f t="shared" si="12"/>
        <v>0.91</v>
      </c>
      <c r="G59" s="80">
        <f t="shared" si="15"/>
        <v>0.08999999999999997</v>
      </c>
      <c r="H59" s="10">
        <f t="shared" si="18"/>
        <v>0.5600000000000002</v>
      </c>
      <c r="I59" s="11">
        <f t="shared" si="13"/>
        <v>3446</v>
      </c>
      <c r="J59" s="47">
        <f t="shared" si="16"/>
        <v>27568</v>
      </c>
    </row>
    <row r="60" spans="1:10" ht="12.75">
      <c r="A60">
        <f t="shared" si="17"/>
        <v>29</v>
      </c>
      <c r="B60" s="10">
        <f t="shared" si="9"/>
        <v>0.6035625</v>
      </c>
      <c r="C60" s="44">
        <f t="shared" si="10"/>
        <v>0.3964375</v>
      </c>
      <c r="D60" s="10">
        <f t="shared" si="14"/>
        <v>0.6035625</v>
      </c>
      <c r="E60" s="44">
        <f t="shared" si="11"/>
        <v>0.3964375</v>
      </c>
      <c r="F60" s="79">
        <f t="shared" si="12"/>
        <v>0.9425</v>
      </c>
      <c r="G60" s="80">
        <f t="shared" si="15"/>
        <v>0.057499999999999996</v>
      </c>
      <c r="H60" s="10">
        <f t="shared" si="18"/>
        <v>0.5800000000000002</v>
      </c>
      <c r="I60" s="11">
        <f t="shared" si="13"/>
        <v>3569</v>
      </c>
      <c r="J60" s="47">
        <f t="shared" si="16"/>
        <v>28552</v>
      </c>
    </row>
    <row r="61" spans="1:12" ht="12.75">
      <c r="A61">
        <f t="shared" si="17"/>
        <v>30</v>
      </c>
      <c r="B61" s="10">
        <f t="shared" si="9"/>
        <v>0.624375</v>
      </c>
      <c r="C61" s="44">
        <f t="shared" si="10"/>
        <v>0.375625</v>
      </c>
      <c r="D61" s="10">
        <f t="shared" si="14"/>
        <v>0.624375</v>
      </c>
      <c r="E61" s="44">
        <f t="shared" si="11"/>
        <v>0.375625</v>
      </c>
      <c r="F61" s="81">
        <f>(MuxConfig*A61*IHUpollRate)/CANbusBaud</f>
        <v>0.975</v>
      </c>
      <c r="G61" s="82">
        <f t="shared" si="15"/>
        <v>0.025000000000000022</v>
      </c>
      <c r="H61" s="10">
        <f t="shared" si="18"/>
        <v>0.6000000000000002</v>
      </c>
      <c r="I61" s="11">
        <f t="shared" si="13"/>
        <v>3692</v>
      </c>
      <c r="J61" s="47">
        <f t="shared" si="16"/>
        <v>29536</v>
      </c>
      <c r="L61" s="5"/>
    </row>
    <row r="62" spans="1:12" ht="12.75">
      <c r="A62">
        <f t="shared" si="17"/>
        <v>31</v>
      </c>
      <c r="B62" s="10">
        <f t="shared" si="9"/>
        <v>0.6451875</v>
      </c>
      <c r="C62" s="44">
        <f t="shared" si="10"/>
        <v>0.3548125</v>
      </c>
      <c r="D62" s="10">
        <f t="shared" si="14"/>
        <v>0.6451875</v>
      </c>
      <c r="E62" s="44">
        <f t="shared" si="11"/>
        <v>0.3548125</v>
      </c>
      <c r="H62" s="10">
        <f t="shared" si="18"/>
        <v>0.6200000000000002</v>
      </c>
      <c r="I62" s="11">
        <f t="shared" si="13"/>
        <v>3815</v>
      </c>
      <c r="J62" s="47">
        <f t="shared" si="16"/>
        <v>30520</v>
      </c>
      <c r="L62" s="5"/>
    </row>
    <row r="63" spans="1:12" ht="12.75">
      <c r="A63">
        <f t="shared" si="17"/>
        <v>32</v>
      </c>
      <c r="B63" s="10">
        <f t="shared" si="9"/>
        <v>0.666</v>
      </c>
      <c r="C63" s="44">
        <f t="shared" si="10"/>
        <v>0.33399999999999996</v>
      </c>
      <c r="D63" s="10">
        <f t="shared" si="14"/>
        <v>0.666</v>
      </c>
      <c r="E63" s="44">
        <f t="shared" si="11"/>
        <v>0.33399999999999996</v>
      </c>
      <c r="H63" s="10">
        <f t="shared" si="18"/>
        <v>0.6400000000000002</v>
      </c>
      <c r="I63" s="11">
        <f t="shared" si="13"/>
        <v>3938</v>
      </c>
      <c r="J63" s="47">
        <f t="shared" si="16"/>
        <v>31504</v>
      </c>
      <c r="L63" s="5"/>
    </row>
    <row r="64" spans="1:12" ht="12.75">
      <c r="A64">
        <f t="shared" si="17"/>
        <v>33</v>
      </c>
      <c r="B64" s="10">
        <f t="shared" si="9"/>
        <v>0.6868125</v>
      </c>
      <c r="C64" s="44">
        <f t="shared" si="10"/>
        <v>0.31318749999999995</v>
      </c>
      <c r="D64" s="10">
        <f t="shared" si="14"/>
        <v>0.6868125</v>
      </c>
      <c r="E64" s="44">
        <f t="shared" si="11"/>
        <v>0.31318749999999995</v>
      </c>
      <c r="H64" s="10">
        <f t="shared" si="18"/>
        <v>0.6600000000000003</v>
      </c>
      <c r="I64" s="11">
        <f t="shared" si="13"/>
        <v>4061</v>
      </c>
      <c r="J64" s="47">
        <f t="shared" si="16"/>
        <v>32488</v>
      </c>
      <c r="L64" s="5"/>
    </row>
    <row r="65" spans="1:12" ht="12.75">
      <c r="A65">
        <f t="shared" si="17"/>
        <v>34</v>
      </c>
      <c r="B65" s="10">
        <f t="shared" si="9"/>
        <v>0.707625</v>
      </c>
      <c r="C65" s="44">
        <f t="shared" si="10"/>
        <v>0.29237500000000005</v>
      </c>
      <c r="D65" s="10">
        <f t="shared" si="14"/>
        <v>0.707625</v>
      </c>
      <c r="E65" s="44">
        <f t="shared" si="11"/>
        <v>0.29237500000000005</v>
      </c>
      <c r="H65" s="10">
        <f t="shared" si="18"/>
        <v>0.6800000000000003</v>
      </c>
      <c r="I65" s="11">
        <f t="shared" si="13"/>
        <v>4184</v>
      </c>
      <c r="J65" s="47">
        <f t="shared" si="16"/>
        <v>33472</v>
      </c>
      <c r="L65" s="5"/>
    </row>
    <row r="66" spans="1:12" ht="12.75">
      <c r="A66">
        <f t="shared" si="17"/>
        <v>35</v>
      </c>
      <c r="B66" s="10">
        <f t="shared" si="9"/>
        <v>0.7284375</v>
      </c>
      <c r="C66" s="44">
        <f t="shared" si="10"/>
        <v>0.27156250000000004</v>
      </c>
      <c r="D66" s="10">
        <f t="shared" si="14"/>
        <v>0.7284375</v>
      </c>
      <c r="E66" s="44">
        <f t="shared" si="11"/>
        <v>0.27156250000000004</v>
      </c>
      <c r="H66" s="10">
        <f t="shared" si="18"/>
        <v>0.7000000000000003</v>
      </c>
      <c r="I66" s="11">
        <f t="shared" si="13"/>
        <v>4307</v>
      </c>
      <c r="J66" s="47">
        <f t="shared" si="16"/>
        <v>34456</v>
      </c>
      <c r="L66" s="5"/>
    </row>
    <row r="67" spans="1:12" ht="12.75">
      <c r="A67">
        <f t="shared" si="17"/>
        <v>36</v>
      </c>
      <c r="B67" s="10">
        <f t="shared" si="9"/>
        <v>0.74925</v>
      </c>
      <c r="C67" s="44">
        <f t="shared" si="10"/>
        <v>0.25075000000000003</v>
      </c>
      <c r="D67" s="10">
        <f t="shared" si="14"/>
        <v>0.74925</v>
      </c>
      <c r="E67" s="44">
        <f t="shared" si="11"/>
        <v>0.25075000000000003</v>
      </c>
      <c r="H67" s="10">
        <f t="shared" si="18"/>
        <v>0.7200000000000003</v>
      </c>
      <c r="I67" s="11">
        <f t="shared" si="13"/>
        <v>4430</v>
      </c>
      <c r="J67" s="47">
        <f t="shared" si="16"/>
        <v>35440</v>
      </c>
      <c r="L67" s="5"/>
    </row>
    <row r="68" spans="1:12" ht="12.75">
      <c r="A68">
        <f t="shared" si="17"/>
        <v>37</v>
      </c>
      <c r="B68" s="10">
        <f t="shared" si="9"/>
        <v>0.7700625</v>
      </c>
      <c r="C68" s="44">
        <f t="shared" si="10"/>
        <v>0.22993750000000002</v>
      </c>
      <c r="D68" s="10">
        <f t="shared" si="14"/>
        <v>0.7700625</v>
      </c>
      <c r="E68" s="44">
        <f t="shared" si="11"/>
        <v>0.22993750000000002</v>
      </c>
      <c r="H68" s="10">
        <f t="shared" si="18"/>
        <v>0.7400000000000003</v>
      </c>
      <c r="I68" s="11">
        <f t="shared" si="13"/>
        <v>4553</v>
      </c>
      <c r="J68" s="47">
        <f t="shared" si="16"/>
        <v>36424</v>
      </c>
      <c r="L68" s="5"/>
    </row>
    <row r="69" spans="1:12" ht="12.75">
      <c r="A69">
        <f t="shared" si="17"/>
        <v>38</v>
      </c>
      <c r="B69" s="10">
        <f t="shared" si="9"/>
        <v>0.790875</v>
      </c>
      <c r="C69" s="44">
        <f t="shared" si="10"/>
        <v>0.209125</v>
      </c>
      <c r="D69" s="10">
        <f t="shared" si="14"/>
        <v>0.790875</v>
      </c>
      <c r="E69" s="44">
        <f t="shared" si="11"/>
        <v>0.209125</v>
      </c>
      <c r="H69" s="10">
        <f t="shared" si="18"/>
        <v>0.7600000000000003</v>
      </c>
      <c r="I69" s="11">
        <f t="shared" si="13"/>
        <v>4676</v>
      </c>
      <c r="J69" s="47">
        <f t="shared" si="16"/>
        <v>37408</v>
      </c>
      <c r="L69" s="5"/>
    </row>
    <row r="70" spans="1:12" ht="12.75">
      <c r="A70">
        <f t="shared" si="17"/>
        <v>39</v>
      </c>
      <c r="B70" s="10">
        <f t="shared" si="9"/>
        <v>0.8116875</v>
      </c>
      <c r="C70" s="44">
        <f t="shared" si="10"/>
        <v>0.1883125</v>
      </c>
      <c r="D70" s="10">
        <f t="shared" si="14"/>
        <v>0.8116875</v>
      </c>
      <c r="E70" s="44">
        <f t="shared" si="11"/>
        <v>0.1883125</v>
      </c>
      <c r="H70" s="10">
        <f t="shared" si="18"/>
        <v>0.7800000000000004</v>
      </c>
      <c r="I70" s="11">
        <f t="shared" si="13"/>
        <v>4800</v>
      </c>
      <c r="J70" s="47">
        <f t="shared" si="16"/>
        <v>38400</v>
      </c>
      <c r="L70" s="5"/>
    </row>
    <row r="71" spans="1:12" ht="12.75">
      <c r="A71">
        <f t="shared" si="17"/>
        <v>40</v>
      </c>
      <c r="B71" s="10">
        <f t="shared" si="9"/>
        <v>0.8325</v>
      </c>
      <c r="C71" s="44">
        <f t="shared" si="10"/>
        <v>0.16749999999999998</v>
      </c>
      <c r="D71" s="10">
        <f t="shared" si="14"/>
        <v>0.8325</v>
      </c>
      <c r="E71" s="44">
        <f t="shared" si="11"/>
        <v>0.16749999999999998</v>
      </c>
      <c r="H71" s="10">
        <f t="shared" si="18"/>
        <v>0.8000000000000004</v>
      </c>
      <c r="I71" s="11">
        <f t="shared" si="13"/>
        <v>4923</v>
      </c>
      <c r="J71" s="47">
        <f t="shared" si="16"/>
        <v>39384</v>
      </c>
      <c r="L71" s="5"/>
    </row>
    <row r="72" spans="1:12" ht="12.75">
      <c r="A72">
        <f t="shared" si="17"/>
        <v>41</v>
      </c>
      <c r="B72" s="10">
        <f t="shared" si="9"/>
        <v>0.8533125</v>
      </c>
      <c r="C72" s="44">
        <f t="shared" si="10"/>
        <v>0.14668749999999997</v>
      </c>
      <c r="D72" s="10">
        <f t="shared" si="14"/>
        <v>0.8533125</v>
      </c>
      <c r="E72" s="44">
        <f t="shared" si="11"/>
        <v>0.14668749999999997</v>
      </c>
      <c r="H72" s="10">
        <f t="shared" si="18"/>
        <v>0.8200000000000004</v>
      </c>
      <c r="I72" s="11">
        <f t="shared" si="13"/>
        <v>5046</v>
      </c>
      <c r="J72" s="47">
        <f t="shared" si="16"/>
        <v>40368</v>
      </c>
      <c r="L72" s="5"/>
    </row>
    <row r="73" spans="1:12" ht="12.75">
      <c r="A73">
        <f t="shared" si="17"/>
        <v>42</v>
      </c>
      <c r="B73" s="10">
        <f t="shared" si="9"/>
        <v>0.874125</v>
      </c>
      <c r="C73" s="44">
        <f t="shared" si="10"/>
        <v>0.12587499999999996</v>
      </c>
      <c r="D73" s="10">
        <f t="shared" si="14"/>
        <v>0.874125</v>
      </c>
      <c r="E73" s="44">
        <f t="shared" si="11"/>
        <v>0.12587499999999996</v>
      </c>
      <c r="H73" s="10">
        <f t="shared" si="18"/>
        <v>0.8400000000000004</v>
      </c>
      <c r="I73" s="11">
        <f t="shared" si="13"/>
        <v>5169</v>
      </c>
      <c r="J73" s="47">
        <f t="shared" si="16"/>
        <v>41352</v>
      </c>
      <c r="L73" s="5"/>
    </row>
    <row r="74" spans="1:12" ht="12.75">
      <c r="A74">
        <f t="shared" si="17"/>
        <v>43</v>
      </c>
      <c r="B74" s="10">
        <f t="shared" si="9"/>
        <v>0.8949375</v>
      </c>
      <c r="C74" s="44">
        <f t="shared" si="10"/>
        <v>0.10506249999999995</v>
      </c>
      <c r="D74" s="10">
        <f t="shared" si="14"/>
        <v>0.8949375</v>
      </c>
      <c r="E74" s="44">
        <f t="shared" si="11"/>
        <v>0.10506249999999995</v>
      </c>
      <c r="H74" s="10">
        <f t="shared" si="18"/>
        <v>0.8600000000000004</v>
      </c>
      <c r="I74" s="11">
        <f t="shared" si="13"/>
        <v>5292</v>
      </c>
      <c r="J74" s="47">
        <f t="shared" si="16"/>
        <v>42336</v>
      </c>
      <c r="L74" s="5"/>
    </row>
    <row r="75" spans="1:12" ht="12.75">
      <c r="A75">
        <f t="shared" si="17"/>
        <v>44</v>
      </c>
      <c r="B75" s="10">
        <f t="shared" si="9"/>
        <v>0.91575</v>
      </c>
      <c r="C75" s="44">
        <f t="shared" si="10"/>
        <v>0.08425000000000005</v>
      </c>
      <c r="D75" s="10">
        <f t="shared" si="14"/>
        <v>0.91575</v>
      </c>
      <c r="E75" s="44">
        <f t="shared" si="11"/>
        <v>0.08425000000000005</v>
      </c>
      <c r="H75" s="10">
        <f t="shared" si="18"/>
        <v>0.8800000000000004</v>
      </c>
      <c r="I75" s="11">
        <f t="shared" si="13"/>
        <v>5415</v>
      </c>
      <c r="J75" s="47">
        <f t="shared" si="16"/>
        <v>43320</v>
      </c>
      <c r="L75" s="5"/>
    </row>
    <row r="76" spans="1:12" ht="12.75">
      <c r="A76">
        <f t="shared" si="17"/>
        <v>45</v>
      </c>
      <c r="B76" s="10">
        <f t="shared" si="9"/>
        <v>0.9365625</v>
      </c>
      <c r="C76" s="44">
        <f t="shared" si="10"/>
        <v>0.06343750000000004</v>
      </c>
      <c r="D76" s="10">
        <f t="shared" si="14"/>
        <v>0.9365625</v>
      </c>
      <c r="E76" s="44">
        <f t="shared" si="11"/>
        <v>0.06343750000000004</v>
      </c>
      <c r="H76" s="10">
        <f t="shared" si="18"/>
        <v>0.9000000000000005</v>
      </c>
      <c r="I76" s="11">
        <f t="shared" si="13"/>
        <v>5538</v>
      </c>
      <c r="J76" s="47">
        <f t="shared" si="16"/>
        <v>44304</v>
      </c>
      <c r="L76" s="5"/>
    </row>
    <row r="77" spans="1:12" ht="12.75">
      <c r="A77">
        <f t="shared" si="17"/>
        <v>46</v>
      </c>
      <c r="B77" s="10">
        <f t="shared" si="9"/>
        <v>0.957375</v>
      </c>
      <c r="C77" s="44">
        <f t="shared" si="10"/>
        <v>0.042625000000000024</v>
      </c>
      <c r="D77" s="10">
        <f t="shared" si="14"/>
        <v>0.957375</v>
      </c>
      <c r="E77" s="44">
        <f t="shared" si="11"/>
        <v>0.042625000000000024</v>
      </c>
      <c r="H77" s="10">
        <f t="shared" si="18"/>
        <v>0.9200000000000005</v>
      </c>
      <c r="I77" s="11">
        <f t="shared" si="13"/>
        <v>5661</v>
      </c>
      <c r="J77" s="47">
        <f t="shared" si="16"/>
        <v>45288</v>
      </c>
      <c r="L77" s="5"/>
    </row>
    <row r="78" spans="1:12" ht="12.75">
      <c r="A78">
        <f>A77+1</f>
        <v>47</v>
      </c>
      <c r="B78" s="10">
        <f t="shared" si="9"/>
        <v>0.9781875</v>
      </c>
      <c r="C78" s="44">
        <f t="shared" si="10"/>
        <v>0.021812500000000012</v>
      </c>
      <c r="D78" s="10">
        <f>(PipeConfig*A78*IHUpollRate)/CANbusBaud</f>
        <v>0.9781875</v>
      </c>
      <c r="E78" s="44">
        <f t="shared" si="11"/>
        <v>0.021812500000000012</v>
      </c>
      <c r="H78" s="10">
        <f t="shared" si="18"/>
        <v>0.9400000000000005</v>
      </c>
      <c r="I78" s="11">
        <f t="shared" si="13"/>
        <v>5784</v>
      </c>
      <c r="J78" s="47">
        <f t="shared" si="16"/>
        <v>46272</v>
      </c>
      <c r="L78" s="5"/>
    </row>
    <row r="79" spans="1:10" ht="12.75">
      <c r="A79">
        <f>A78+1</f>
        <v>48</v>
      </c>
      <c r="B79" s="45">
        <f t="shared" si="9"/>
        <v>0.999</v>
      </c>
      <c r="C79" s="46">
        <f t="shared" si="10"/>
        <v>0.0010000000000000009</v>
      </c>
      <c r="D79" s="45">
        <f>(PipeConfig*A79*IHUpollRate)/CANbusBaud</f>
        <v>0.999</v>
      </c>
      <c r="E79" s="46">
        <f t="shared" si="11"/>
        <v>0.0010000000000000009</v>
      </c>
      <c r="H79" s="10">
        <f t="shared" si="18"/>
        <v>0.9600000000000005</v>
      </c>
      <c r="I79" s="11">
        <f t="shared" si="13"/>
        <v>5907</v>
      </c>
      <c r="J79" s="47">
        <f t="shared" si="16"/>
        <v>47256</v>
      </c>
    </row>
    <row r="80" spans="8:10" ht="12.75">
      <c r="H80" s="10">
        <f t="shared" si="18"/>
        <v>0.9800000000000005</v>
      </c>
      <c r="I80" s="11">
        <f t="shared" si="13"/>
        <v>6030</v>
      </c>
      <c r="J80" s="47">
        <f t="shared" si="16"/>
        <v>48240</v>
      </c>
    </row>
    <row r="81" spans="8:10" ht="12.75">
      <c r="H81" s="45">
        <f t="shared" si="18"/>
        <v>1.0000000000000004</v>
      </c>
      <c r="I81" s="48">
        <f t="shared" si="13"/>
        <v>6153</v>
      </c>
      <c r="J81" s="49">
        <f t="shared" si="16"/>
        <v>49224</v>
      </c>
    </row>
  </sheetData>
  <mergeCells count="7">
    <mergeCell ref="H1:J1"/>
    <mergeCell ref="B1:D1"/>
    <mergeCell ref="C3:G3"/>
    <mergeCell ref="B30:C30"/>
    <mergeCell ref="F30:G30"/>
    <mergeCell ref="D30:E30"/>
    <mergeCell ref="H30:J30"/>
  </mergeCells>
  <printOptions/>
  <pageMargins left="0.5" right="0.5" top="0.75" bottom="0.75" header="0.5" footer="0.5"/>
  <pageSetup horizontalDpi="600" verticalDpi="600" orientation="portrait" r:id="rId1"/>
  <headerFooter alignWithMargins="0">
    <oddHeader>&amp;C&amp;A&amp;R&amp;D-&amp;T</oddHeader>
    <oddFooter>&amp;L&amp;F [&amp;A]&amp;RPage &amp;Pof&amp;N</oddFooter>
  </headerFooter>
  <ignoredErrors>
    <ignoredError sqref="B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Stephen M Moraco</cp:lastModifiedBy>
  <cp:lastPrinted>2003-07-08T07:56:32Z</cp:lastPrinted>
  <dcterms:created xsi:type="dcterms:W3CDTF">1996-10-14T23:33:28Z</dcterms:created>
  <dcterms:modified xsi:type="dcterms:W3CDTF">2005-12-04T20:28:10Z</dcterms:modified>
  <cp:category/>
  <cp:version/>
  <cp:contentType/>
  <cp:contentStatus/>
</cp:coreProperties>
</file>